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340" windowWidth="19410" windowHeight="9330" tabRatio="895" activeTab="0"/>
  </bookViews>
  <sheets>
    <sheet name="Riepilogo" sheetId="1" r:id="rId1"/>
    <sheet name="Foglio1" sheetId="2" r:id="rId2"/>
    <sheet name="Dettaglio PN - Info per N.I." sheetId="3" state="hidden" r:id="rId3"/>
    <sheet name="Variazioni di valore IAS-IFRS" sheetId="4" state="hidden" r:id="rId4"/>
    <sheet name="Certificati c terzi" sheetId="5" state="hidden" r:id="rId5"/>
    <sheet name="A.3.1" sheetId="6" state="hidden" r:id="rId6"/>
    <sheet name="A.3.2" sheetId="7" state="hidden" r:id="rId7"/>
    <sheet name="A.4.5.1" sheetId="8" state="hidden" r:id="rId8"/>
    <sheet name="A.4.5.2" sheetId="9" state="hidden" r:id="rId9"/>
    <sheet name="A.4.5.3" sheetId="10" state="hidden" r:id="rId10"/>
    <sheet name="A.4.5.4" sheetId="11" state="hidden" r:id="rId11"/>
    <sheet name="FAIR VALUE 3.1 3.2" sheetId="12" state="hidden" r:id="rId12"/>
    <sheet name="FAIR VALUE 3.3" sheetId="13" state="hidden" r:id="rId13"/>
    <sheet name="AFS 4.1" sheetId="14" state="hidden" r:id="rId14"/>
    <sheet name="AFS Mercati" sheetId="15" state="hidden" r:id="rId15"/>
    <sheet name="AFS 4.2" sheetId="16" state="hidden" r:id="rId16"/>
    <sheet name="AFS 4.2.1" sheetId="17" state="hidden" r:id="rId17"/>
    <sheet name="AFS 4.3" sheetId="18" state="hidden" r:id="rId18"/>
    <sheet name="PARTECIPAZIONI 9.1" sheetId="19" state="hidden" r:id="rId19"/>
    <sheet name="PARTECIPAZIONI 9.2" sheetId="20" state="hidden" r:id="rId20"/>
    <sheet name="PARTECIPAZIONI 9.3" sheetId="21" state="hidden" r:id="rId21"/>
    <sheet name="PARTECIPAZIONI 9.4" sheetId="22" state="hidden" r:id="rId22"/>
    <sheet name="NON-CORR 13.1" sheetId="23" state="hidden" r:id="rId23"/>
    <sheet name="NON-CORR_PART 13.1.1" sheetId="24" state="hidden" r:id="rId24"/>
    <sheet name="PASS-NON-CORR 13.2" sheetId="25" state="hidden" r:id="rId25"/>
    <sheet name="MERCH E.1" sheetId="26" state="hidden" r:id="rId26"/>
    <sheet name="MERCH E.2" sheetId="27" state="hidden" r:id="rId27"/>
    <sheet name="MERCH E.3" sheetId="28" state="hidden" r:id="rId28"/>
    <sheet name="PART H.3.1" sheetId="29" state="hidden" r:id="rId29"/>
    <sheet name="PART H.3.2" sheetId="30" state="hidden" r:id="rId30"/>
    <sheet name="PART H.3.2.2" sheetId="31" state="hidden" r:id="rId31"/>
    <sheet name="val.nom.x sistema commissionale" sheetId="32" state="hidden" r:id="rId32"/>
    <sheet name="voce 130" sheetId="33" state="hidden" r:id="rId33"/>
    <sheet name="Clientela" sheetId="34" state="hidden" r:id="rId34"/>
    <sheet name="Altre att_pass" sheetId="35" state="hidden" r:id="rId35"/>
  </sheets>
  <externalReferences>
    <externalReference r:id="rId38"/>
    <externalReference r:id="rId39"/>
  </externalReferences>
  <definedNames>
    <definedName name="_xlnm.Print_Area" localSheetId="13">'AFS 4.1'!$B$1:$J$62</definedName>
    <definedName name="_xlnm.Print_Area" localSheetId="15">'AFS 4.2'!$B$2:$F$67</definedName>
    <definedName name="_xlnm.Print_Area" localSheetId="16">'AFS 4.2.1'!$B$2:$I$14</definedName>
    <definedName name="_xlnm.Print_Area" localSheetId="17">'AFS 4.3'!$B$1:$H$161</definedName>
    <definedName name="_xlnm.Print_Area" localSheetId="14">'AFS Mercati'!$B$1:$F$35</definedName>
    <definedName name="_xlnm.Print_Area" localSheetId="4">'Certificati c terzi'!$B$2:$K$99</definedName>
    <definedName name="_xlnm.Print_Area" localSheetId="11">'FAIR VALUE 3.1 3.2'!$B$1:$J$72</definedName>
    <definedName name="_xlnm.Print_Area" localSheetId="12">'FAIR VALUE 3.3'!$B$1:$H$30</definedName>
    <definedName name="_xlnm.Print_Area" localSheetId="25">'MERCH E.1'!$B$1:$L$71</definedName>
    <definedName name="_xlnm.Print_Area" localSheetId="26">'MERCH E.2'!$B$1:$M$41</definedName>
    <definedName name="_xlnm.Print_Area" localSheetId="27">'MERCH E.3'!$B$1:$E$24</definedName>
    <definedName name="_xlnm.Print_Area" localSheetId="22">'NON-CORR 13.1'!$B$1:$F$34</definedName>
    <definedName name="_xlnm.Print_Area" localSheetId="23">'NON-CORR_PART 13.1.1'!$B$1:$M$28</definedName>
    <definedName name="_xlnm.Print_Area" localSheetId="28">'PART H.3.1'!$B$1:$M$18</definedName>
    <definedName name="_xlnm.Print_Area" localSheetId="29">'PART H.3.2'!$B$2:$H$9</definedName>
    <definedName name="_xlnm.Print_Area" localSheetId="30">'PART H.3.2.2'!$B$1:$I$28</definedName>
    <definedName name="_xlnm.Print_Area" localSheetId="18">'PARTECIPAZIONI 9.1'!$B$1:$I$51</definedName>
    <definedName name="_xlnm.Print_Area" localSheetId="19">'PARTECIPAZIONI 9.2'!$B$1:$G$150</definedName>
    <definedName name="_xlnm.Print_Area" localSheetId="20">'PARTECIPAZIONI 9.3'!$A$1:$Q$105</definedName>
    <definedName name="_xlnm.Print_Area" localSheetId="24">'PASS-NON-CORR 13.2'!$B$1:$F$14</definedName>
    <definedName name="_xlnm.Print_Area" localSheetId="0">'Riepilogo'!$B$2:$L$124</definedName>
    <definedName name="_xlnm.Print_Area" localSheetId="3">'Variazioni di valore IAS-IFRS'!$B$2:$Q$251</definedName>
    <definedName name="_xlnm.Print_Titles" localSheetId="2">'Dettaglio PN - Info per N.I.'!$2:$6</definedName>
    <definedName name="_xlnm.Print_Titles" localSheetId="0">'Riepilogo'!$2:$7</definedName>
  </definedNames>
  <calcPr fullCalcOnLoad="1"/>
</workbook>
</file>

<file path=xl/comments21.xml><?xml version="1.0" encoding="utf-8"?>
<comments xmlns="http://schemas.openxmlformats.org/spreadsheetml/2006/main">
  <authors>
    <author>MATTEO TROJETTO</author>
  </authors>
  <commentList>
    <comment ref="D98" authorId="0">
      <text>
        <r>
          <rPr>
            <b/>
            <sz val="9"/>
            <rFont val="Tahoma"/>
            <family val="2"/>
          </rPr>
          <t>MATTEO TROJETTO:</t>
        </r>
        <r>
          <rPr>
            <sz val="9"/>
            <rFont val="Tahoma"/>
            <family val="2"/>
          </rPr>
          <t xml:space="preserve">
Abbiamo preso le competenze dal 1 ottobre 2014 al 31 dicembre 2014 e sottratte le competenze fino al 16 di ottobre con nota di accredito.</t>
        </r>
      </text>
    </comment>
  </commentList>
</comments>
</file>

<file path=xl/comments3.xml><?xml version="1.0" encoding="utf-8"?>
<comments xmlns="http://schemas.openxmlformats.org/spreadsheetml/2006/main">
  <authors>
    <author>Riccardo Baldassin</author>
  </authors>
  <commentList>
    <comment ref="D4" authorId="0">
      <text>
        <r>
          <rPr>
            <sz val="9"/>
            <rFont val="Tahoma"/>
            <family val="2"/>
          </rPr>
          <t xml:space="preserve">
Per le </t>
        </r>
        <r>
          <rPr>
            <i/>
            <sz val="9"/>
            <rFont val="Tahoma"/>
            <family val="2"/>
          </rPr>
          <t>S.R.L.</t>
        </r>
        <r>
          <rPr>
            <sz val="9"/>
            <rFont val="Tahoma"/>
            <family val="2"/>
          </rPr>
          <t xml:space="preserve"> e </t>
        </r>
        <r>
          <rPr>
            <i/>
            <sz val="9"/>
            <rFont val="Tahoma"/>
            <family val="2"/>
          </rPr>
          <t>S.C. A R.L.</t>
        </r>
        <r>
          <rPr>
            <sz val="9"/>
            <rFont val="Tahoma"/>
            <family val="2"/>
          </rPr>
          <t xml:space="preserve"> si intende</t>
        </r>
        <r>
          <rPr>
            <b/>
            <sz val="9"/>
            <rFont val="Tahoma"/>
            <family val="2"/>
          </rPr>
          <t xml:space="preserve"> Euro</t>
        </r>
        <r>
          <rPr>
            <sz val="9"/>
            <rFont val="Tahoma"/>
            <family val="2"/>
          </rPr>
          <t xml:space="preserve"> (di V.S)
Per le </t>
        </r>
        <r>
          <rPr>
            <i/>
            <sz val="9"/>
            <rFont val="Tahoma"/>
            <family val="2"/>
          </rPr>
          <t>S.P.A.</t>
        </r>
        <r>
          <rPr>
            <sz val="9"/>
            <rFont val="Tahoma"/>
            <family val="2"/>
          </rPr>
          <t xml:space="preserve"> e </t>
        </r>
        <r>
          <rPr>
            <i/>
            <sz val="9"/>
            <rFont val="Tahoma"/>
            <family val="2"/>
          </rPr>
          <t>S.C.P.A.</t>
        </r>
        <r>
          <rPr>
            <sz val="9"/>
            <rFont val="Tahoma"/>
            <family val="2"/>
          </rPr>
          <t xml:space="preserve"> si intende</t>
        </r>
        <r>
          <rPr>
            <b/>
            <sz val="9"/>
            <rFont val="Tahoma"/>
            <family val="2"/>
          </rPr>
          <t xml:space="preserve"> Numero Azioni</t>
        </r>
        <r>
          <rPr>
            <sz val="9"/>
            <rFont val="Tahoma"/>
            <family val="2"/>
          </rPr>
          <t xml:space="preserve"> (di V.S.)</t>
        </r>
      </text>
    </comment>
    <comment ref="D5" authorId="0">
      <text>
        <r>
          <rPr>
            <sz val="9"/>
            <rFont val="Tahoma"/>
            <family val="2"/>
          </rPr>
          <t xml:space="preserve">
Per le </t>
        </r>
        <r>
          <rPr>
            <i/>
            <sz val="9"/>
            <rFont val="Tahoma"/>
            <family val="2"/>
          </rPr>
          <t>S.R.L.</t>
        </r>
        <r>
          <rPr>
            <sz val="9"/>
            <rFont val="Tahoma"/>
            <family val="2"/>
          </rPr>
          <t xml:space="preserve"> e </t>
        </r>
        <r>
          <rPr>
            <i/>
            <sz val="9"/>
            <rFont val="Tahoma"/>
            <family val="2"/>
          </rPr>
          <t>S.C. A R.L.</t>
        </r>
        <r>
          <rPr>
            <sz val="9"/>
            <rFont val="Tahoma"/>
            <family val="2"/>
          </rPr>
          <t xml:space="preserve"> si intende </t>
        </r>
        <r>
          <rPr>
            <b/>
            <sz val="9"/>
            <rFont val="Tahoma"/>
            <family val="2"/>
          </rPr>
          <t>Euro</t>
        </r>
        <r>
          <rPr>
            <sz val="9"/>
            <rFont val="Tahoma"/>
            <family val="2"/>
          </rPr>
          <t xml:space="preserve"> (di V.S)
Per le </t>
        </r>
        <r>
          <rPr>
            <i/>
            <sz val="9"/>
            <rFont val="Tahoma"/>
            <family val="2"/>
          </rPr>
          <t>S.P.A.</t>
        </r>
        <r>
          <rPr>
            <sz val="9"/>
            <rFont val="Tahoma"/>
            <family val="2"/>
          </rPr>
          <t xml:space="preserve"> e </t>
        </r>
        <r>
          <rPr>
            <i/>
            <sz val="9"/>
            <rFont val="Tahoma"/>
            <family val="2"/>
          </rPr>
          <t>S.C.P.A.</t>
        </r>
        <r>
          <rPr>
            <sz val="9"/>
            <rFont val="Tahoma"/>
            <family val="2"/>
          </rPr>
          <t xml:space="preserve"> si intende </t>
        </r>
        <r>
          <rPr>
            <b/>
            <sz val="9"/>
            <rFont val="Tahoma"/>
            <family val="2"/>
          </rPr>
          <t>Numero Azioni</t>
        </r>
        <r>
          <rPr>
            <sz val="9"/>
            <rFont val="Tahoma"/>
            <family val="2"/>
          </rPr>
          <t xml:space="preserve"> (di V.S.)</t>
        </r>
      </text>
    </comment>
    <comment ref="G163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CE) Valore della Produzione + C) 15) proventi da partecipazioni da imprese controllate + CE) C) 16) d) proventi diversi</t>
        </r>
      </text>
    </comment>
    <comment ref="G179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somma voci 10 commissioni attive e 40 interessi attivi e proventi assimilati</t>
        </r>
      </text>
    </comment>
    <comment ref="G213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voce 120 margine di intermediazione</t>
        </r>
      </text>
    </comment>
    <comment ref="G222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VdP + CE) C) 15) e 16) proventi da partecipazioni e altri proventi finanziari</t>
        </r>
      </text>
    </comment>
    <comment ref="C249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senza le azioni proprie in portafoglio = 4.142.138 Euro</t>
        </r>
      </text>
    </comment>
    <comment ref="C252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num. azioni proprie = 764.210</t>
        </r>
      </text>
    </comment>
    <comment ref="G255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totali ricavi e proventi +
valutazione partecipazioni (con parti correlate) +
proventi da partecipazioni (con parti correlate)</t>
        </r>
      </text>
    </comment>
  </commentList>
</comments>
</file>

<file path=xl/sharedStrings.xml><?xml version="1.0" encoding="utf-8"?>
<sst xmlns="http://schemas.openxmlformats.org/spreadsheetml/2006/main" count="1908" uniqueCount="774">
  <si>
    <t>1.</t>
  </si>
  <si>
    <t>Titoli di debito</t>
  </si>
  <si>
    <t>2.</t>
  </si>
  <si>
    <t>3.</t>
  </si>
  <si>
    <t>Finanziamenti</t>
  </si>
  <si>
    <t>Totale</t>
  </si>
  <si>
    <t>a)</t>
  </si>
  <si>
    <t>b)</t>
  </si>
  <si>
    <t>Banche</t>
  </si>
  <si>
    <t>c)</t>
  </si>
  <si>
    <t>Enti finanziari</t>
  </si>
  <si>
    <t>d)</t>
  </si>
  <si>
    <t>Altri emittenti</t>
  </si>
  <si>
    <t>Variazioni/Tipologie</t>
  </si>
  <si>
    <t>Strumenti finanziari derivati</t>
  </si>
  <si>
    <t>A.</t>
  </si>
  <si>
    <t>Esistenze iniziali</t>
  </si>
  <si>
    <t>B.</t>
  </si>
  <si>
    <t>Aumenti</t>
  </si>
  <si>
    <t>B1. Acquisti</t>
  </si>
  <si>
    <r>
      <t xml:space="preserve">B2. Variazioni positive di </t>
    </r>
    <r>
      <rPr>
        <i/>
        <sz val="11"/>
        <rFont val="Arial"/>
        <family val="2"/>
      </rPr>
      <t>fair value</t>
    </r>
  </si>
  <si>
    <t>B3. Altre variazioni</t>
  </si>
  <si>
    <t>C.</t>
  </si>
  <si>
    <t>Diminuzioni</t>
  </si>
  <si>
    <t>C1. Vendite</t>
  </si>
  <si>
    <t>C2. Rimborsi</t>
  </si>
  <si>
    <r>
      <t xml:space="preserve">C3. Variazioni negative di </t>
    </r>
    <r>
      <rPr>
        <i/>
        <sz val="11"/>
        <rFont val="Arial"/>
        <family val="2"/>
      </rPr>
      <t>fair value</t>
    </r>
  </si>
  <si>
    <t>D.</t>
  </si>
  <si>
    <t>Rimanenze finali</t>
  </si>
  <si>
    <t>non merchant bank:</t>
  </si>
  <si>
    <t>B3. Riprese di valore</t>
  </si>
  <si>
    <t>B4. Trasferimenti da altri portafogli</t>
  </si>
  <si>
    <t>B5. Altre variazioni</t>
  </si>
  <si>
    <t>C4. Rettifiche di valore</t>
  </si>
  <si>
    <t>Composizione</t>
  </si>
  <si>
    <t>Totale valore di bilancio</t>
  </si>
  <si>
    <t>Denominazione imprese</t>
  </si>
  <si>
    <t>Valore di bilancio</t>
  </si>
  <si>
    <t>Quota di partecipazione %</t>
  </si>
  <si>
    <t>Disponibilità voti %</t>
  </si>
  <si>
    <t>Sede</t>
  </si>
  <si>
    <t>Totale attivo</t>
  </si>
  <si>
    <t>Importo del patrimonio netto</t>
  </si>
  <si>
    <t>Risultato dell'ultimo esercizio</t>
  </si>
  <si>
    <t>Quotazione (Si/No)</t>
  </si>
  <si>
    <t>Imprese controllate in via esclusiva</t>
  </si>
  <si>
    <t>Imprese controllate in modo congiunto</t>
  </si>
  <si>
    <t>NO</t>
  </si>
  <si>
    <t>Imprese sottoposte ad influenza notevole</t>
  </si>
  <si>
    <t>Partecipazioni di gruppo</t>
  </si>
  <si>
    <t>Partecipazioni non di gruppo</t>
  </si>
  <si>
    <t>C.1 Vendite</t>
  </si>
  <si>
    <t>B.1 Acquisti</t>
  </si>
  <si>
    <t>Singole attività</t>
  </si>
  <si>
    <t>a. Partecipazioni</t>
  </si>
  <si>
    <t>b. Attività materiali</t>
  </si>
  <si>
    <t>c. Attività immateriali</t>
  </si>
  <si>
    <t>d. Altre attività non correnti</t>
  </si>
  <si>
    <t>C5. Trasferimenti ad altri portafogli</t>
  </si>
  <si>
    <t>Totale ricavi</t>
  </si>
  <si>
    <t>B.2 Riprese di valore</t>
  </si>
  <si>
    <t>C.2 Rettifiche di valore</t>
  </si>
  <si>
    <t>C.3 Altre variazioni</t>
  </si>
  <si>
    <t>Voci/Valori</t>
  </si>
  <si>
    <t>Cortinasim Srl</t>
  </si>
  <si>
    <t>Passività associate:</t>
  </si>
  <si>
    <t xml:space="preserve">A. </t>
  </si>
  <si>
    <t>Attività per cassa</t>
  </si>
  <si>
    <t>- titoli strutturati</t>
  </si>
  <si>
    <t>- altri titoli di debito</t>
  </si>
  <si>
    <t>Titoli di capitale e quote di O.I.C.R.</t>
  </si>
  <si>
    <t>Totale A</t>
  </si>
  <si>
    <t>Livello 1</t>
  </si>
  <si>
    <t>Livello 2</t>
  </si>
  <si>
    <t>Livello 3</t>
  </si>
  <si>
    <t xml:space="preserve">B. </t>
  </si>
  <si>
    <t>Derivati finanziari</t>
  </si>
  <si>
    <t>Derivati creditizi</t>
  </si>
  <si>
    <t>Totale B</t>
  </si>
  <si>
    <t>Governi e Banche Centrali</t>
  </si>
  <si>
    <t>Altri enti pubblici</t>
  </si>
  <si>
    <t>e)</t>
  </si>
  <si>
    <t>Altre controparti</t>
  </si>
  <si>
    <t>Titoli di capitale e quote di O.I.C.R</t>
  </si>
  <si>
    <t>C4. Trasferimenti ad altri portafogli</t>
  </si>
  <si>
    <t>C5. Altre variazioni</t>
  </si>
  <si>
    <t>Attività finanziarie</t>
  </si>
  <si>
    <t>Trasporto Aereo</t>
  </si>
  <si>
    <t>Infrastrutture</t>
  </si>
  <si>
    <t>Bancario</t>
  </si>
  <si>
    <t>Servizi</t>
  </si>
  <si>
    <t>Finanziario</t>
  </si>
  <si>
    <t>Mercati di riferimento</t>
  </si>
  <si>
    <t>Denominazione</t>
  </si>
  <si>
    <t>Costi di acquisto</t>
  </si>
  <si>
    <t>Valore contabile</t>
  </si>
  <si>
    <t>Valore originario</t>
  </si>
  <si>
    <t>Totale Rettifiche di valore/              Svalutazioni</t>
  </si>
  <si>
    <t>Totale Riprese di valore/ Rivalutazioni</t>
  </si>
  <si>
    <t>Partecipazioni</t>
  </si>
  <si>
    <t>controllate</t>
  </si>
  <si>
    <t xml:space="preserve"> - banche ed enti finanziari</t>
  </si>
  <si>
    <t xml:space="preserve"> - altri soggetti</t>
  </si>
  <si>
    <t>controllate congiuntamente</t>
  </si>
  <si>
    <t>sottoposte a influenza notevole</t>
  </si>
  <si>
    <t>Altre interessenze</t>
  </si>
  <si>
    <t>2.1 Attività non correnti e gruppi di attività  in via di dismissione</t>
  </si>
  <si>
    <t>Denominazione società</t>
  </si>
  <si>
    <t>Totale rettifiche di valore</t>
  </si>
  <si>
    <t>Totale rivalutazioni</t>
  </si>
  <si>
    <t>Quota %</t>
  </si>
  <si>
    <t>Controllate</t>
  </si>
  <si>
    <t>Controllate congiuntamente</t>
  </si>
  <si>
    <t>Sottoposte a influenza notevole</t>
  </si>
  <si>
    <t>Importi</t>
  </si>
  <si>
    <t>B.3 Altre variazioni</t>
  </si>
  <si>
    <t>Denominazione Investimenti partecipativi</t>
  </si>
  <si>
    <t>Forme di impiego</t>
  </si>
  <si>
    <t>Risorse pubbliche</t>
  </si>
  <si>
    <t>Convenzioni regolanti i rapporti tra le parti</t>
  </si>
  <si>
    <t xml:space="preserve">Legge Regionale 2/2002 art. 21 - Fondo di Rotazione per l’Artigianato Regionale </t>
  </si>
  <si>
    <t>Amministrazione investimenti partecipativi c/Regione del Veneto</t>
  </si>
  <si>
    <t>Convenzione fra Regione del Veneto e Veneto Sviluppo del 16/11/2005</t>
  </si>
  <si>
    <t>Legge Regionale 40/2003 art. 23  - Fondo di Rotazione per il settore primario</t>
  </si>
  <si>
    <t>Dettaglio Partecipazioni amministrate per conto della Regione del Veneto</t>
  </si>
  <si>
    <t>Capitale sociale</t>
  </si>
  <si>
    <t>Percentuale</t>
  </si>
  <si>
    <t>Valore nominale</t>
  </si>
  <si>
    <t>Frazione patrimonio netto ultimo bilancio approvato</t>
  </si>
  <si>
    <t>Descrizione Partecipazioni amministrate</t>
  </si>
  <si>
    <t>Quota iscritta in bilancio</t>
  </si>
  <si>
    <r>
      <t>Parte gestita per</t>
    </r>
    <r>
      <rPr>
        <b/>
        <i/>
        <sz val="11"/>
        <rFont val="Arial"/>
        <family val="2"/>
      </rPr>
      <t xml:space="preserve"> mera attività di servizio</t>
    </r>
  </si>
  <si>
    <t>Sistemi di remunerazione</t>
  </si>
  <si>
    <t>Modalità formali di impiego</t>
  </si>
  <si>
    <t>senza rappresentanza</t>
  </si>
  <si>
    <t>Investimenti partecipativi amministrati c/Regione</t>
  </si>
  <si>
    <t>IMPIEGHI</t>
  </si>
  <si>
    <t>Impieghi iniziali</t>
  </si>
  <si>
    <t>Impieghi finali</t>
  </si>
  <si>
    <t xml:space="preserve"> </t>
  </si>
  <si>
    <t>PARTECIPAZIONI E STRUMENTI DI CAPITALE</t>
  </si>
  <si>
    <t>riferito ad un</t>
  </si>
  <si>
    <t>di cui</t>
  </si>
  <si>
    <t>di</t>
  </si>
  <si>
    <t>Rettifiche da</t>
  </si>
  <si>
    <t>Valore</t>
  </si>
  <si>
    <t>Valutazione</t>
  </si>
  <si>
    <t xml:space="preserve">Riprese </t>
  </si>
  <si>
    <t xml:space="preserve">Enti finanziari </t>
  </si>
  <si>
    <t>Altri</t>
  </si>
  <si>
    <t>Capitale</t>
  </si>
  <si>
    <t>Ns.azioni</t>
  </si>
  <si>
    <t>Ns. Quota %</t>
  </si>
  <si>
    <t>complessivi</t>
  </si>
  <si>
    <t>valore nominale</t>
  </si>
  <si>
    <t>sovrapprezzo</t>
  </si>
  <si>
    <t>acquisto</t>
  </si>
  <si>
    <t>cui</t>
  </si>
  <si>
    <t>al</t>
  </si>
  <si>
    <t>First Time</t>
  </si>
  <si>
    <t>IAS</t>
  </si>
  <si>
    <t>valenze</t>
  </si>
  <si>
    <t>di valore</t>
  </si>
  <si>
    <t>negative</t>
  </si>
  <si>
    <t>positive</t>
  </si>
  <si>
    <t>riserve</t>
  </si>
  <si>
    <t>algebrica</t>
  </si>
  <si>
    <t xml:space="preserve"> non</t>
  </si>
  <si>
    <t>soggetti</t>
  </si>
  <si>
    <t>Sociale</t>
  </si>
  <si>
    <t>Totale azioni</t>
  </si>
  <si>
    <t>partecipaz.</t>
  </si>
  <si>
    <t>nominale</t>
  </si>
  <si>
    <t>azione</t>
  </si>
  <si>
    <t>di acquisto</t>
  </si>
  <si>
    <t>Adoption</t>
  </si>
  <si>
    <t>fair value</t>
  </si>
  <si>
    <t>quotati</t>
  </si>
  <si>
    <t>non quotati</t>
  </si>
  <si>
    <t>a) controllate</t>
  </si>
  <si>
    <t>b) collegate</t>
  </si>
  <si>
    <t>c) joint venture</t>
  </si>
  <si>
    <t>d) available for sale</t>
  </si>
  <si>
    <t>quote</t>
  </si>
  <si>
    <t>MERCHANT BANK - GESTIONE FONDO CAPITALE DI RISCHIO</t>
  </si>
  <si>
    <t>TOTALE MERCHANT BANK GESTIONE FONDO CAPITALE DI RISCHIO</t>
  </si>
  <si>
    <t>NON MERCHANT BANK - GESTIONE VENETO SVILUPPO</t>
  </si>
  <si>
    <t>variabile</t>
  </si>
  <si>
    <t>art 113 D.Lgs 385/93 n. 27598</t>
  </si>
  <si>
    <t>PARTECIPAZIONI C/REGIONE</t>
  </si>
  <si>
    <t>TOTALE PARTECIPAZIONI C/REGIONE</t>
  </si>
  <si>
    <t>partecipata</t>
  </si>
  <si>
    <t>Capitale sociale Euro</t>
  </si>
  <si>
    <t>Riserve</t>
  </si>
  <si>
    <t>Utile (perdite) portate a nuovo</t>
  </si>
  <si>
    <t>Utile (perdita) di esercizio</t>
  </si>
  <si>
    <t>Utile distribuito agli azionisti</t>
  </si>
  <si>
    <t xml:space="preserve">Capitale sociale </t>
  </si>
  <si>
    <t>Riserva per azioni proprie in portafoglio</t>
  </si>
  <si>
    <t xml:space="preserve">Ns. Quota </t>
  </si>
  <si>
    <t>Certificati</t>
  </si>
  <si>
    <t>Quote</t>
  </si>
  <si>
    <t>Numero</t>
  </si>
  <si>
    <t>c/o partecipata</t>
  </si>
  <si>
    <t>c/o Veneto Svil.</t>
  </si>
  <si>
    <t>Certificato</t>
  </si>
  <si>
    <t>TOTALI</t>
  </si>
  <si>
    <t>Dematerializzate</t>
  </si>
  <si>
    <t>48-54</t>
  </si>
  <si>
    <t>159-179</t>
  </si>
  <si>
    <t>TOTALI COMPLESSIVI</t>
  </si>
  <si>
    <t>check</t>
  </si>
  <si>
    <t>Energia</t>
  </si>
  <si>
    <t>merchant bank:</t>
  </si>
  <si>
    <t>Gestione diretta</t>
  </si>
  <si>
    <t>GESTIONE DIRETTA</t>
  </si>
  <si>
    <t>GESTIONE SU MANDATO REGIONALE</t>
  </si>
  <si>
    <t>TOTALE VALORE NOMINALE STRUMENTI DI CAPITALE</t>
  </si>
  <si>
    <t>di cui:</t>
  </si>
  <si>
    <t>Valore nominale delle partecipazioni amministrate c/Regione</t>
  </si>
  <si>
    <t>GESTIONE</t>
  </si>
  <si>
    <t>VALORE NOMINALE</t>
  </si>
  <si>
    <t>oneri</t>
  </si>
  <si>
    <t>accessori</t>
  </si>
  <si>
    <t>MERCHANT BANK - GESTIONE PATRIMONIO DESTINATO</t>
  </si>
  <si>
    <t>rettifica di c/economico per scarico riserva fair value</t>
  </si>
  <si>
    <t>-</t>
  </si>
  <si>
    <t>4.</t>
  </si>
  <si>
    <t>Patrimonio Destinato</t>
  </si>
  <si>
    <t>5.</t>
  </si>
  <si>
    <t>6.</t>
  </si>
  <si>
    <t>7.</t>
  </si>
  <si>
    <t>Breda di Piave (TV), Frazione Pero      Via Toniolo 6</t>
  </si>
  <si>
    <t>Maserada sul Piave (TV), Via Dolomiti 36</t>
  </si>
  <si>
    <t>PATRIMONIO DESTINATO</t>
  </si>
  <si>
    <t>TOTALE MERCHANT BANK GESTIONE PATRIMONIO DESTINATO</t>
  </si>
  <si>
    <t>in attesa fotocopia</t>
  </si>
  <si>
    <t>Obbligazioni C.I.S. 2010-2015</t>
  </si>
  <si>
    <t>Fondo di capitale di rischio ex POR 2007-2013 (FESR) – Asse 1, linea d’intervento 1.2. “ingegneria finanziaria”, Azione 1.2.2.</t>
  </si>
  <si>
    <t>FONDO DI CAPITALE DI RISCHIO ex POR 2007-2013 (FESR) – Asse 1, linea d’intervento 1.2. “ingegneria finanziaria”, Azione 1.2.2.</t>
  </si>
  <si>
    <t>FAIR VALUE 3.1 3.2</t>
  </si>
  <si>
    <t>AFS 4.1.</t>
  </si>
  <si>
    <t>AFS 4.2</t>
  </si>
  <si>
    <t>AFS 4.2.1</t>
  </si>
  <si>
    <t>AFS 4.3</t>
  </si>
  <si>
    <t>PARTECIPAZIONI 9.1</t>
  </si>
  <si>
    <t>NON CORR_PART13.1.1.</t>
  </si>
  <si>
    <t>MERCH E.1</t>
  </si>
  <si>
    <t>MERCH E.2</t>
  </si>
  <si>
    <t>PART H.3.1.</t>
  </si>
  <si>
    <t>PART H.3.2.2.</t>
  </si>
  <si>
    <t>perdita</t>
  </si>
  <si>
    <t>fair value cumulato alla data</t>
  </si>
  <si>
    <t>fair value dell'esercizio</t>
  </si>
  <si>
    <t>8.</t>
  </si>
  <si>
    <t>9.</t>
  </si>
  <si>
    <t>Rubano (PD), Via Pitagora 15</t>
  </si>
  <si>
    <t>Azioni non rappr.</t>
  </si>
  <si>
    <t>da titoli azionari</t>
  </si>
  <si>
    <t>non consegnati</t>
  </si>
  <si>
    <t>FAIR VALUE 3.3</t>
  </si>
  <si>
    <t>PARTECIPAZIONI 9.2</t>
  </si>
  <si>
    <t>MERCH E.3</t>
  </si>
  <si>
    <t>chiesta copia</t>
  </si>
  <si>
    <t>385 (chiesta copia)</t>
  </si>
  <si>
    <t>==</t>
  </si>
  <si>
    <t>AFS (livello 3) MERCATI</t>
  </si>
  <si>
    <t>Manufatturiero</t>
  </si>
  <si>
    <t>fallita</t>
  </si>
  <si>
    <t>Padova, Via S. Marco 9/H</t>
  </si>
  <si>
    <t>Albignasego (PD), Via Marco Polo 3</t>
  </si>
  <si>
    <t>Venezia, Via delle Industrie 9</t>
  </si>
  <si>
    <t>Rovigo, Via della Cooperazione 37</t>
  </si>
  <si>
    <t>PER NOTA INTEGRATIVA</t>
  </si>
  <si>
    <t>totale attivo</t>
  </si>
  <si>
    <t>MERCHANT BANK - GESTIONE VENETO SVILUPPO</t>
  </si>
  <si>
    <t>Valore quota socio finanziatore Soc Coop.</t>
  </si>
  <si>
    <t>socio finanziatore</t>
  </si>
  <si>
    <t>A.3.1 Attività finanziarie riclassificate: valore contabile, fair value ed effetti sulla redditività complessiva</t>
  </si>
  <si>
    <t>Tipologia di strumento finanziario (1)</t>
  </si>
  <si>
    <t>Portafoglio di provenienza (2)</t>
  </si>
  <si>
    <t>Portafoglio di destinazione (3)</t>
  </si>
  <si>
    <t>Componenti reddituali in assenza del trasferimento                                (ante imposte)</t>
  </si>
  <si>
    <t>Componenti reddituali registrate nell'esercizio                      (ante imposte)</t>
  </si>
  <si>
    <t>Valutative                 (6)</t>
  </si>
  <si>
    <t>Altre                       (7)</t>
  </si>
  <si>
    <t>A.3.2 Attività finanziarie riclassificate: effetti sulla redditività complessiva prima del trasferimento</t>
  </si>
  <si>
    <t>Plus/minusvalenze                               in conto economico                                      (ante imposte)</t>
  </si>
  <si>
    <t>Plus/minusvalenze                              nel patrimonio netto                                      (ante imposte)</t>
  </si>
  <si>
    <t>Portafoglio di provenienza            (2)</t>
  </si>
  <si>
    <t>A.4.5.1 Attività e passività valutate al fair value su base ricorrente: ripartizione per livelli di fair value</t>
  </si>
  <si>
    <t>Attività finanziarie detenute per la negoziazione</t>
  </si>
  <si>
    <r>
      <t xml:space="preserve">Attività finanziarie valutate al </t>
    </r>
    <r>
      <rPr>
        <i/>
        <sz val="11"/>
        <rFont val="Arial"/>
        <family val="2"/>
      </rPr>
      <t>fair value</t>
    </r>
  </si>
  <si>
    <t>Attività finanziarie disponibili per la vendita</t>
  </si>
  <si>
    <t>Derivati di copertura</t>
  </si>
  <si>
    <t>Attività materiali</t>
  </si>
  <si>
    <t>Attività immateriali</t>
  </si>
  <si>
    <t>Passività finanziarie detenute per la negoziazione</t>
  </si>
  <si>
    <r>
      <t xml:space="preserve">Passività finanziarie valutate al </t>
    </r>
    <r>
      <rPr>
        <i/>
        <sz val="11"/>
        <rFont val="Arial"/>
        <family val="2"/>
      </rPr>
      <t>fair value</t>
    </r>
  </si>
  <si>
    <t>A.4.5.2 Variazioni annue delle attività valutate al fair value su base ricorrente (livello 3)</t>
  </si>
  <si>
    <t>A.4.5.3 Variazioni annue delle passività valutate al fair value su base ricorrente (livello 3)</t>
  </si>
  <si>
    <t>A.4.5.4 Attività e passività non valutate al fair value o valutate al fair value su base non ricorrente: ripartizione per livelli di fair value</t>
  </si>
  <si>
    <t>Attività finanziarie detenute sino alla scadenza</t>
  </si>
  <si>
    <t>Crediti</t>
  </si>
  <si>
    <t>Attività materiali detenute a scopo di stabile investimento</t>
  </si>
  <si>
    <t>Attività non correnti e gruppi di attività in via di dismissione</t>
  </si>
  <si>
    <t>Debiti</t>
  </si>
  <si>
    <t>Titoli in circolazione</t>
  </si>
  <si>
    <t>Passività associate ad attività in via di dismissione</t>
  </si>
  <si>
    <t>VB</t>
  </si>
  <si>
    <t>L1</t>
  </si>
  <si>
    <t>L2</t>
  </si>
  <si>
    <t>L3</t>
  </si>
  <si>
    <t>AFS 4.1</t>
  </si>
  <si>
    <t>NON-CORR 13.1</t>
  </si>
  <si>
    <t>11.</t>
  </si>
  <si>
    <t>Valore nominale delle partecipazioni Fondo Capitale di Rischio</t>
  </si>
  <si>
    <t>Valore nominale delle partecipazioni Patrimonio Destinato</t>
  </si>
  <si>
    <t>Partecipazione al capitale di rischio, in qualità di socio finanziatore, a valere sul “Fondo per la partecipazione minoritaria al capitale di rischio di PMI Cooperative</t>
  </si>
  <si>
    <t>Interplanet Srl</t>
  </si>
  <si>
    <t>OTS Srl</t>
  </si>
  <si>
    <t>TOTALE NON MERCHANT BANK GESTIONE VENETO SVILUPPO</t>
  </si>
  <si>
    <t>TOTALE MERCHANT BANK GESTIONE VENETO SVILUPPO</t>
  </si>
  <si>
    <t>indennizzo considerato per situaz. al 30/6/14</t>
  </si>
  <si>
    <t>indennizzo effettivo al 17/6/14</t>
  </si>
  <si>
    <t>differenza</t>
  </si>
  <si>
    <t>perdita 1/7/14-31/12/14</t>
  </si>
  <si>
    <t>quota parte V.S.</t>
  </si>
  <si>
    <t>minor Tobin Tax</t>
  </si>
  <si>
    <t>rettifica al 30/06/14</t>
  </si>
  <si>
    <t>FVS SGR quadratura con rettifica al 30/6/14</t>
  </si>
  <si>
    <t>scarico fair value azioni cedute nell'esercizio</t>
  </si>
  <si>
    <t>Fair Value</t>
  </si>
  <si>
    <t>Sede operativa</t>
  </si>
  <si>
    <t>Sede legale</t>
  </si>
  <si>
    <t>Trieste, Via Locchi 19</t>
  </si>
  <si>
    <t>Montecchio Maggiore (VI), Via Madonnetta 215 INT4</t>
  </si>
  <si>
    <t>Polverara (PD), Via dell'Artigianato 5/2</t>
  </si>
  <si>
    <t>Passività correnti</t>
  </si>
  <si>
    <t>Passività non correnti</t>
  </si>
  <si>
    <t>Rapporto partecipativo</t>
  </si>
  <si>
    <t>Collegata</t>
  </si>
  <si>
    <t>Joint Venture</t>
  </si>
  <si>
    <t>Attività non correnti</t>
  </si>
  <si>
    <t>Bilancio di riferimento</t>
  </si>
  <si>
    <t>Disponibilià liquide e attività equivalenti</t>
  </si>
  <si>
    <t>Passività finanziarie correnti</t>
  </si>
  <si>
    <t>Passività finanziarie non correnti</t>
  </si>
  <si>
    <t>Svalutazioni e ammortamenti</t>
  </si>
  <si>
    <t>Imposte sul reddito (proventi fiscali)</t>
  </si>
  <si>
    <t xml:space="preserve"> - Bellelli Engineering SpA</t>
  </si>
  <si>
    <t>B.3 Rivalutazioni</t>
  </si>
  <si>
    <t>Denominazioni</t>
  </si>
  <si>
    <t xml:space="preserve"> - AFC Srl in liquidazione (fallita dal 31/01/07)</t>
  </si>
  <si>
    <t>rettifica al 31/12/14</t>
  </si>
  <si>
    <t>% possesso</t>
  </si>
  <si>
    <t>Riconciliazione informazioni di natura contabile</t>
  </si>
  <si>
    <t>PARTECIPAZIONI 9.4</t>
  </si>
  <si>
    <t>I divendi percepiti da società partecipate significative</t>
  </si>
  <si>
    <t>PARTECIPAZIONI 9.3  a) (rif.paragrafo appendice B.13 IFRS 12)</t>
  </si>
  <si>
    <t>PARTECIPAZIONI 9.3  c) (rif.paragrafo appendice B.14b IFRS 12)</t>
  </si>
  <si>
    <t>PARTECIPAZIONI 9.3 b) (rif.paragrafo appendice B.14a IFRS 12)</t>
  </si>
  <si>
    <t>Riconciliazione tra le informazioni di natura contabile riportate nei bilanci delle partecipate ed il valore contabile della propria partecipazione come richiesto dal paragrafo B14, lettera b), dell'IFRS 12</t>
  </si>
  <si>
    <t>Ricavi</t>
  </si>
  <si>
    <t>Interessi attivi</t>
  </si>
  <si>
    <t xml:space="preserve">Interessi passivi </t>
  </si>
  <si>
    <t>Saldo netto rapporti con particorrelate pro quota</t>
  </si>
  <si>
    <t>Voci di bilancio VFS SGR SPA</t>
  </si>
  <si>
    <t>Effetto fiscale</t>
  </si>
  <si>
    <t>Rettifiche per applicazione IAS 28</t>
  </si>
  <si>
    <t>Saldo netto costi-ricavi a conto economico</t>
  </si>
  <si>
    <t>Costi infragruppo: locazione immobile</t>
  </si>
  <si>
    <t>Pro quota Veneto Sviluppo (51%)</t>
  </si>
  <si>
    <t>Attività correnti</t>
  </si>
  <si>
    <t>Denominazioni*</t>
  </si>
  <si>
    <t>* I dati economico finanziari esposti sono conformi ai Principi Contabili Nazionali fatta eccezione per FVS S.G.R. S.p.A. che redige il bilancio secondo i principi contabili internazionali IAS/IFRS.</t>
  </si>
  <si>
    <t>Non vi sono informazioni di cui all'IFRS 12, paragrafo B14, lettera a)</t>
  </si>
  <si>
    <t>Rapporti Intercompany (non considerati nella valutazione ad equity di FVS SGR SpA in quanto l'effetto non è considerato significativo:</t>
  </si>
  <si>
    <t>ok</t>
  </si>
  <si>
    <t>Plusvalenze (minusvalenze) delle attività operative cessate</t>
  </si>
  <si>
    <t xml:space="preserve">Differenza tra Valore e Costi della produzione </t>
  </si>
  <si>
    <t>Utile (perdita) derivante attività operative in esercizio</t>
  </si>
  <si>
    <t>Altre componenti di conto economico complessivo</t>
  </si>
  <si>
    <t>Si precisa che nel corso dell'esercizio 2014 è stato esercitata irrevocabilmente l'opzione put per la cessione dell'intero pacchetto azionario detenuto in Bellelli Engineering S.p.A.; ciò ha comportato la riclassifica della partecipazione dalla voce 90. "Partecipazioni" alla voce 130. "Attività non correnti e gruppi di attività in via di dismissione".</t>
  </si>
  <si>
    <t>Holding operative</t>
  </si>
  <si>
    <t>Venezia-Marghera, Via delle Industrie 19/D</t>
  </si>
  <si>
    <t>Cooperativa Lavoratori Zanardi</t>
  </si>
  <si>
    <t>Kuni Società Cooperativa</t>
  </si>
  <si>
    <t>10.</t>
  </si>
  <si>
    <t>Vedelago (TV), Via Del Lavoro 18</t>
  </si>
  <si>
    <t>POC Enrive S.p.A.</t>
  </si>
  <si>
    <t>76 + nuovi certificati</t>
  </si>
  <si>
    <t>fondo Cooperative</t>
  </si>
  <si>
    <t>AFS</t>
  </si>
  <si>
    <t>Compagnia Investimenti e Sviluppo - C.I.S. S.p.A. e Finest S.p.A. già iscritte nell'elenco previsto dall'art.113 del TUB dal bilancio 2014 non sono da considerarsi intermediari finanziari (a seguito di chiarimenti con la responsabile della funzione compliance).</t>
  </si>
  <si>
    <t>Enrive S.p.A. (POC)</t>
  </si>
  <si>
    <t xml:space="preserve">Padova (PD) Via N. Tommaseo 77 </t>
  </si>
  <si>
    <t>Villadose (RO) Via Zona Industriale 74/A</t>
  </si>
  <si>
    <t>12.</t>
  </si>
  <si>
    <t>Walking Pipe S.p.A.</t>
  </si>
  <si>
    <t>15</t>
  </si>
  <si>
    <t>Valore Nominale al 31/12/2015</t>
  </si>
  <si>
    <t xml:space="preserve">Risultato dell'ultimo esercizio </t>
  </si>
  <si>
    <t>A. Imprese controllate in via esclusiva</t>
  </si>
  <si>
    <t>B. Imprese controllate in modo congiunto</t>
  </si>
  <si>
    <t>C. Imprese sottoposte ad influenza notevole</t>
  </si>
  <si>
    <t>1. Bellelli Engineering S.p.A.</t>
  </si>
  <si>
    <t>Quotazione (SI/NO)</t>
  </si>
  <si>
    <t xml:space="preserve">    merchant bank:</t>
  </si>
  <si>
    <t xml:space="preserve">    Patrimonio Destinato</t>
  </si>
  <si>
    <t>A. Singole attività</t>
  </si>
  <si>
    <t xml:space="preserve">a. Partecipazioni </t>
  </si>
  <si>
    <t>Bellelli Engineering S.p.A.</t>
  </si>
  <si>
    <t xml:space="preserve">               Totale valore di bilancio</t>
  </si>
  <si>
    <t>bilancio 31/12/2015</t>
  </si>
  <si>
    <t>Riserva per versamenti in conto capitale (V.S.)</t>
  </si>
  <si>
    <t>di partecipazione</t>
  </si>
  <si>
    <t>Bilancio</t>
  </si>
  <si>
    <t>scarico</t>
  </si>
  <si>
    <t>somma</t>
  </si>
  <si>
    <t>note</t>
  </si>
  <si>
    <t>capitale</t>
  </si>
  <si>
    <t>sociale</t>
  </si>
  <si>
    <t>azioni di V.S.</t>
  </si>
  <si>
    <t>totale azioni</t>
  </si>
  <si>
    <t>quota % V.S.</t>
  </si>
  <si>
    <t xml:space="preserve">valore </t>
  </si>
  <si>
    <t>patrimonio netto</t>
  </si>
  <si>
    <t>quota V.S.</t>
  </si>
  <si>
    <t>aum. cap. soc.</t>
  </si>
  <si>
    <t>costi</t>
  </si>
  <si>
    <t>costo di</t>
  </si>
  <si>
    <t>nominale €</t>
  </si>
  <si>
    <t>denominazione</t>
  </si>
  <si>
    <t>input da tabella</t>
  </si>
  <si>
    <t>Fondo Sviluppo PMI (FVS S.G.R. SpA)</t>
  </si>
  <si>
    <t>FVS S.G.R. SpA (Fondo Sviluppo  PMI)</t>
  </si>
  <si>
    <t>somma per check per Tabella A.4.5.1</t>
  </si>
  <si>
    <t>check AFS</t>
  </si>
  <si>
    <t>Fondo di capitale di rischio ex POR 2007-2013 (FESR) – Asse 1, linea d’intervento 1.2. "ingegneria finanziaria", Azione 1.2.2.</t>
  </si>
  <si>
    <t>il bilancio di TBS espone il capitale sociale senza sommare le azioni proprie, controllare nella relazione degli amministratori sulla gestione</t>
  </si>
  <si>
    <t>B.4 Altre variazioni</t>
  </si>
  <si>
    <t>Liv. 3</t>
  </si>
  <si>
    <t>Liv. 1</t>
  </si>
  <si>
    <t>Si precisa che la Società Giesse S.r.l. (fallita il 7/6/2013) rilevata al costo di Euro 1.500.000 è stata svalutata nell'esercizio 2012  per Euro 1.499.999. I dati sopra riportati fanno riferimento al bilancio al 31/12/2011.</t>
  </si>
  <si>
    <t>12/2011</t>
  </si>
  <si>
    <t>Riserva di rivalutazione</t>
  </si>
  <si>
    <t>Altre Riserve</t>
  </si>
  <si>
    <t>quota PN di Veneto Sviluppo</t>
  </si>
  <si>
    <t>Utili (perdite) portati a nuovo</t>
  </si>
  <si>
    <t>valore della produzione</t>
  </si>
  <si>
    <t>Riserva per versamenti in conto capitale</t>
  </si>
  <si>
    <t>Riserva per versamenti in conto futuro aumento di capitale</t>
  </si>
  <si>
    <t>Riserva per versamenti in conto aumento di capitale</t>
  </si>
  <si>
    <t>aumento cap. V.S.</t>
  </si>
  <si>
    <t>cap. soc. Develon</t>
  </si>
  <si>
    <t>% V.S.</t>
  </si>
  <si>
    <t xml:space="preserve">quota Euro V.S. </t>
  </si>
  <si>
    <t>Azioni proprie (da portare in deduzione)</t>
  </si>
  <si>
    <t>progetto di bilancio</t>
  </si>
  <si>
    <t>Euro</t>
  </si>
  <si>
    <t>numero azioni</t>
  </si>
  <si>
    <t>valore nominale azione €</t>
  </si>
  <si>
    <t>IAS / IFRS</t>
  </si>
  <si>
    <r>
      <t xml:space="preserve">bilancio di </t>
    </r>
    <r>
      <rPr>
        <u val="single"/>
        <sz val="9"/>
        <rFont val="Arial"/>
        <family val="2"/>
      </rPr>
      <t>esercizio</t>
    </r>
    <r>
      <rPr>
        <sz val="9"/>
        <rFont val="Arial"/>
        <family val="2"/>
      </rPr>
      <t xml:space="preserve"> (e non consolidato, qualora fosse redatto)</t>
    </r>
  </si>
  <si>
    <t>bilancio finanziario</t>
  </si>
  <si>
    <t>% di V.S.</t>
  </si>
  <si>
    <t>check quota PN di V.S.</t>
  </si>
  <si>
    <t>% variabile</t>
  </si>
  <si>
    <t>ALTRE INFO</t>
  </si>
  <si>
    <t>PARTECIPAZIONI</t>
  </si>
  <si>
    <t>Gestione del “Fondo per la partecipazione minoritaria e temporanea al capitale di rischio di PMI Cooperative. L.R. 18 novembre 2005, n. 17 art. 13, comma 2 lett A”.</t>
  </si>
  <si>
    <t>acquisita in data 20/12/2011</t>
  </si>
  <si>
    <t>acquisita in data 02/12/2013</t>
  </si>
  <si>
    <t>acquisita in data 12/12/2014</t>
  </si>
  <si>
    <t>acquisita in data 07/08/2012</t>
  </si>
  <si>
    <t>acquisita in data 29/11/2011</t>
  </si>
  <si>
    <t>acquisita in data 24/09/2015</t>
  </si>
  <si>
    <t>acquisita in data 24/10/2014</t>
  </si>
  <si>
    <t>acquisita in data 13/07/2012</t>
  </si>
  <si>
    <t>acquisita in data 03/05/2013</t>
  </si>
  <si>
    <t>acquisita in data 01/04/2014</t>
  </si>
  <si>
    <t>acquisita in data 08/06/2015</t>
  </si>
  <si>
    <t>acquisita in data 28/09/2011 - fallita dal 07/06/2013</t>
  </si>
  <si>
    <t>costituita con conferimento azioni VTP S.p.A. in data 29/04/2013</t>
  </si>
  <si>
    <t>acquisita in data 14/01/2010</t>
  </si>
  <si>
    <t>conferimento Regione Veneto in data 08/07/2008</t>
  </si>
  <si>
    <t>sottoscritto aum. cap. in via diretta in data 20/07/2007 + conferimento Regione Veneto</t>
  </si>
  <si>
    <t>acquisita in data 22/12/1997 - fallita dal 13/12/2013</t>
  </si>
  <si>
    <t>acquisita in data 30/10/1998 - fallita dal 17/12/2013</t>
  </si>
  <si>
    <t>acquisita in data 08/12/1999</t>
  </si>
  <si>
    <t>acquisita in data 24/04/1994</t>
  </si>
  <si>
    <t>acquisita in data 28/12/2010 - fallita dal 12/07/2013</t>
  </si>
  <si>
    <t>acquisita in data 27/12/2013</t>
  </si>
  <si>
    <t>acquisita in data 08/05/2015</t>
  </si>
  <si>
    <t>acquisita in data 20/07/2015</t>
  </si>
  <si>
    <t>Adaptica S.r.l.</t>
  </si>
  <si>
    <t>Cielle S.r.l.</t>
  </si>
  <si>
    <t>Develon S.r.l.</t>
  </si>
  <si>
    <t>Garmont International S.r.l.</t>
  </si>
  <si>
    <t>Interplanet S.r.l.</t>
  </si>
  <si>
    <t>Neurimpulse S.r.l.</t>
  </si>
  <si>
    <t>Nuove Energie S.r.l.</t>
  </si>
  <si>
    <t>Officina Stellare S.r.l.</t>
  </si>
  <si>
    <t>OTS S.r.l.</t>
  </si>
  <si>
    <t>SI14 S.p.A.</t>
  </si>
  <si>
    <t>Xeptagen S.p.A.</t>
  </si>
  <si>
    <t>Zen Fonderie S.r.l.</t>
  </si>
  <si>
    <t>H-Farm S.p.A.</t>
  </si>
  <si>
    <t>WearIT S.r.l.</t>
  </si>
  <si>
    <t xml:space="preserve">Giesse S.r.l. </t>
  </si>
  <si>
    <t>APVS S.r.l.</t>
  </si>
  <si>
    <t>Enrive S.p.A.</t>
  </si>
  <si>
    <t>FVS S.G.R. S.p.A.</t>
  </si>
  <si>
    <t xml:space="preserve">Aeroporto di Treviso S.p.A. </t>
  </si>
  <si>
    <t>Aeroporto Valerio Catullo di Verona Villafranca S.p.A.</t>
  </si>
  <si>
    <t>Alpi Eagles S.p.A.</t>
  </si>
  <si>
    <t xml:space="preserve">Attiva S.p.A. in liquidazione </t>
  </si>
  <si>
    <t>Autodromo del Veneto S.p.A.</t>
  </si>
  <si>
    <t>Compagnia Investimenti e Sviluppo - C.I.S. S.p.A.</t>
  </si>
  <si>
    <t>Expo Venice S.p.A.</t>
  </si>
  <si>
    <t>Finest S.p.A.</t>
  </si>
  <si>
    <t>Interporto di Venezia S.p.A.</t>
  </si>
  <si>
    <t>Politecnico Calzaturiero soc. cons. a r.l.</t>
  </si>
  <si>
    <t>Banca Popolare Etica soc. coop. per azioni</t>
  </si>
  <si>
    <t>Bic Adriatico s.c. a r.l. in fallimento</t>
  </si>
  <si>
    <t>Xgroup S.p.A. in liquidazione</t>
  </si>
  <si>
    <t>Consorzio Tabacchicoltori Monte Grappa di Bassano del Grappa, Castelfranco Veneto e Noventa Vicentina - Cooperativa Agricola</t>
  </si>
  <si>
    <t>ultimo bil. appr. /</t>
  </si>
  <si>
    <t>nuova quota PN di V.S.</t>
  </si>
  <si>
    <t>progetto</t>
  </si>
  <si>
    <t>di Euro</t>
  </si>
  <si>
    <t>bil. 31/12/2005</t>
  </si>
  <si>
    <t>bil. 31/12/2006</t>
  </si>
  <si>
    <t>bil. 31/12/2007</t>
  </si>
  <si>
    <t>bil. 31/12/2008</t>
  </si>
  <si>
    <t>bil. 31/12/2009</t>
  </si>
  <si>
    <t>bil. 31/12/2010</t>
  </si>
  <si>
    <t>Variazioni</t>
  </si>
  <si>
    <t>Variazioni bilancio 31/12/2011</t>
  </si>
  <si>
    <t>Variazioni bilancio 31/12/2012</t>
  </si>
  <si>
    <t>Variazioni bilancio 31/12/2013</t>
  </si>
  <si>
    <t>Variazioni bilancio 31/12/2014</t>
  </si>
  <si>
    <t>Variazioni bilancio 31/12/2015</t>
  </si>
  <si>
    <t>di valore in c/eco.</t>
  </si>
  <si>
    <t>(+) acquisti</t>
  </si>
  <si>
    <t>(-) cessioni</t>
  </si>
  <si>
    <t>(-) rettifiche | (+) riprese</t>
  </si>
  <si>
    <t>altre perdite</t>
  </si>
  <si>
    <t>plus (+)</t>
  </si>
  <si>
    <t>minus. (-)</t>
  </si>
  <si>
    <t>altre var. +</t>
  </si>
  <si>
    <t>altre var. -</t>
  </si>
  <si>
    <t>e) attività non correnti e gruppi di attività in via di dismissione</t>
  </si>
  <si>
    <t>TOTALE PARTECIPAZIONI gestione Fondo Cooperative</t>
  </si>
  <si>
    <t>adeguamento riserva FV</t>
  </si>
  <si>
    <t>TOTALE VARIAZIONI di valore in c/eco. cumulate alla data</t>
  </si>
  <si>
    <t>(-) rettifica | (+) ripresa di valore</t>
  </si>
  <si>
    <t>(-) rettifica | (+) ripresa di valore in c/eco. complessiva</t>
  </si>
  <si>
    <r>
      <rPr>
        <sz val="12"/>
        <color indexed="21"/>
        <rFont val="Arial"/>
        <family val="2"/>
      </rPr>
      <t>(-)</t>
    </r>
    <r>
      <rPr>
        <b/>
        <sz val="11"/>
        <color indexed="21"/>
        <rFont val="Arial Narrow"/>
        <family val="2"/>
      </rPr>
      <t xml:space="preserve"> rettifica | </t>
    </r>
    <r>
      <rPr>
        <sz val="12"/>
        <color indexed="21"/>
        <rFont val="Arial"/>
        <family val="2"/>
      </rPr>
      <t>(+)</t>
    </r>
    <r>
      <rPr>
        <b/>
        <sz val="11"/>
        <color indexed="21"/>
        <rFont val="Arial Narrow"/>
        <family val="2"/>
      </rPr>
      <t xml:space="preserve"> ripresa di valore in c/eco. complessiva</t>
    </r>
  </si>
  <si>
    <t>acquisita in data 31/08/1998 - fallita dal 12/05/2011</t>
  </si>
  <si>
    <r>
      <t xml:space="preserve">patrimonio netto                                 </t>
    </r>
    <r>
      <rPr>
        <b/>
        <u val="single"/>
        <sz val="11"/>
        <rFont val="Arial Narrow"/>
        <family val="2"/>
      </rPr>
      <t>ultimo bilancio approvato</t>
    </r>
  </si>
  <si>
    <t>+ aum /</t>
  </si>
  <si>
    <t>year</t>
  </si>
  <si>
    <t>Utile distribuito agli azionisti (dicembre 2016)</t>
  </si>
  <si>
    <t>10/16</t>
  </si>
  <si>
    <t>Variazioni bilancio 31/12/2016</t>
  </si>
  <si>
    <t>bilancio 30/04/2016</t>
  </si>
  <si>
    <t>Utilizzo versamenti c/futuro aumento CS V.S.</t>
  </si>
  <si>
    <t>aumento di capitale a pagamento</t>
  </si>
  <si>
    <t>aumento di capitale a pagamento V.S.</t>
  </si>
  <si>
    <t>sovrapprezzo aumento di capitale a pagamento V.S.</t>
  </si>
  <si>
    <t>acquisto azioni proprie</t>
  </si>
  <si>
    <t>emissione nuove azioni</t>
  </si>
  <si>
    <t>azioni / quota  V.S.</t>
  </si>
  <si>
    <t>azioni / quote  totali</t>
  </si>
  <si>
    <t>Riserve e Utili (Perdite) portati a nuovo</t>
  </si>
  <si>
    <t>non è presente nei nuovi schemi di Bankit</t>
  </si>
  <si>
    <t>svalutazioni 2016</t>
  </si>
  <si>
    <t>2</t>
  </si>
  <si>
    <t>3</t>
  </si>
  <si>
    <t>Venezia - San Basilio - fabbricato 16</t>
  </si>
  <si>
    <t>Sarcedo (VI), Via della Tecnica 87/89</t>
  </si>
  <si>
    <t>Dividendi percepiti dal 01/01/2016 al 31/12/2016</t>
  </si>
  <si>
    <t>acquisita in data 28/05/2013 - fallita dal 28/09/2016</t>
  </si>
  <si>
    <t>02/16</t>
  </si>
  <si>
    <t>16</t>
  </si>
  <si>
    <t>Patrimonio netto FVS SGR al 31/12/2016</t>
  </si>
  <si>
    <t>Vicenza (VI, Via della Meccanica 23/25</t>
  </si>
  <si>
    <t>Si precisa che i dati di Bellelli Engineering S.p.A. fanno riferimento al bilancio al 31/12/2015.</t>
  </si>
  <si>
    <t>12/2015</t>
  </si>
  <si>
    <t>Si precisa che i dati di Nuove Energie S.r.l. fanno riferimento al bilancio al 31/12/2015.</t>
  </si>
  <si>
    <t>Altavilla Vicentina (VI), Via Retrone 16</t>
  </si>
  <si>
    <t>Vicenza (VI), Via della Meccanica 23/25</t>
  </si>
  <si>
    <t>Valore Nominale al 31/12/2016</t>
  </si>
  <si>
    <t>Valore di bilancio partecipazione FVS SGR al 31/12/2015</t>
  </si>
  <si>
    <t>Patrimonio netto FVS SGR al 31/12/2016 rettificato per valutazione IAS 28</t>
  </si>
  <si>
    <t>Pro-quota Veneto Sviluppo del Patrimonio netto rettificato FVS SGR al 31/12/2016</t>
  </si>
  <si>
    <t>Rettifica di valore al 31/12/2016 rilevata a Conto Economico</t>
  </si>
  <si>
    <t>svalutazioni cumulate al 31/12/2016</t>
  </si>
  <si>
    <t>feb 16 + aum.</t>
  </si>
  <si>
    <t>15 + aum.</t>
  </si>
  <si>
    <r>
      <t xml:space="preserve">* Con riferimento a quanto richiesto dallo IAS 28, paragrafo 33, e dall'IFRS 12, paragrafo 22, lettere b), si specifica che i dati economico-finanziari esposti con riferimento a FVS SGR S.p.A. fanno riferimento al situazione economico-patrimoniale al 31/12/2016, IAS </t>
    </r>
    <r>
      <rPr>
        <i/>
        <sz val="11"/>
        <rFont val="Arial"/>
        <family val="2"/>
      </rPr>
      <t>compliant</t>
    </r>
    <r>
      <rPr>
        <sz val="11"/>
        <rFont val="Arial"/>
        <family val="2"/>
      </rPr>
      <t xml:space="preserve">, predisposto dall'organo amministrativo. Non vengono fornite le informazioni richieste dall'FRS 12, paragrafo 22, lettere c), in quanto non vi sono quote non rilevate della perdita della </t>
    </r>
    <r>
      <rPr>
        <i/>
        <sz val="11"/>
        <rFont val="Arial"/>
        <family val="2"/>
      </rPr>
      <t>joint venture</t>
    </r>
    <r>
      <rPr>
        <sz val="11"/>
        <rFont val="Arial"/>
        <family val="2"/>
      </rPr>
      <t xml:space="preserve">. </t>
    </r>
  </si>
  <si>
    <t>Si segnala che per OTS S.r.l. i dati sopra riportati fanno riferimento ai bilanci di esercizio approvati al 28/02/2016, per Cielle S.r.l. sono al 30/04/2016 e per Giesse i dati di Bilancio sono quelli al 31/12/2011; per tutte le altre partecipazioni i dati di bilancio sono al 31.12.2015</t>
  </si>
  <si>
    <t>ultimo bil. Prev 2016  /</t>
  </si>
  <si>
    <t xml:space="preserve"> bil. Prov. 2016 /</t>
  </si>
  <si>
    <t>n.d.</t>
  </si>
  <si>
    <t>acquisita in data 29/01/2016 - in concordato preventivo in continuità</t>
  </si>
  <si>
    <t>Denominazione Imprese</t>
  </si>
  <si>
    <t>Interessi maturati secondo semestre 2016 POC Enrive</t>
  </si>
  <si>
    <t>Minibond Antonio Zamperla S.p.A.</t>
  </si>
  <si>
    <t>Obbligazioni Minibond Antonio Zamperla SpA</t>
  </si>
  <si>
    <t>(OK, Minibond Antonio Zamperla SpA e ratei attivi su relativi interessi)</t>
  </si>
  <si>
    <t>Ratei attivi Minibond Antonio Zamperla SpA</t>
  </si>
  <si>
    <t>Minibond Antonio Zamperla SpA</t>
  </si>
  <si>
    <t>POC Enrive</t>
  </si>
  <si>
    <t>(OK, Minibond Antonio Zamperla SpA e ratei attivi su relativi interessi nonchè interessi non pagati su POC Enrive)</t>
  </si>
  <si>
    <t>non è presente nei nuovi schemi di Bankit 2016</t>
  </si>
  <si>
    <t>Fair value</t>
  </si>
  <si>
    <t>Bonis</t>
  </si>
  <si>
    <t>Deteriorati</t>
  </si>
  <si>
    <t>Acquistati</t>
  </si>
  <si>
    <t>1.1 Leasing finanziario</t>
  </si>
  <si>
    <t xml:space="preserve">        di cui: senza opzione finale d'acquisto</t>
  </si>
  <si>
    <t>1.2 Factoring</t>
  </si>
  <si>
    <t xml:space="preserve">      - pro-solvendo</t>
  </si>
  <si>
    <t xml:space="preserve">      - pro-soluto</t>
  </si>
  <si>
    <t xml:space="preserve">1.3 Credito al consumo </t>
  </si>
  <si>
    <t>1.4 Carte di credito</t>
  </si>
  <si>
    <t>1.5 Finanziamenti concessi in relazione ai servizi di pagamento prestati</t>
  </si>
  <si>
    <t>1.6 Altri finanziamenti</t>
  </si>
  <si>
    <t xml:space="preserve">        di cui: da escussione di garanzie e impegni</t>
  </si>
  <si>
    <t>2.1 titoli strutturati</t>
  </si>
  <si>
    <t>2.2 altri titoli di debito</t>
  </si>
  <si>
    <t>Altre attività</t>
  </si>
  <si>
    <r>
      <t>Ricavi infragruppo: servizio di</t>
    </r>
    <r>
      <rPr>
        <i/>
        <sz val="8"/>
        <rFont val="Arial"/>
        <family val="2"/>
      </rPr>
      <t xml:space="preserve"> advisory</t>
    </r>
  </si>
  <si>
    <t xml:space="preserve"> - Giesse Srl </t>
  </si>
  <si>
    <t xml:space="preserve"> - Nuove Energie Srl </t>
  </si>
  <si>
    <t>Voci</t>
  </si>
  <si>
    <t>Crediti verso dipendenti</t>
  </si>
  <si>
    <t>Anticipi a fornitori</t>
  </si>
  <si>
    <t>Crediti verso Regione del Veneto di natura non finanziaria</t>
  </si>
  <si>
    <t>Crediti verso Viveracqua Hydrobond 1 Srl</t>
  </si>
  <si>
    <t>Crediti verso Genertellife</t>
  </si>
  <si>
    <t xml:space="preserve">Crediti diversi verso società partecipate </t>
  </si>
  <si>
    <t>Costi rinviati</t>
  </si>
  <si>
    <t>Risconti e ratei attivi non riconducibili a voce propria</t>
  </si>
  <si>
    <t>Altre partite diverse</t>
  </si>
  <si>
    <r>
      <t xml:space="preserve">Attività/Passività finanziarie misurate al </t>
    </r>
    <r>
      <rPr>
        <i/>
        <sz val="11"/>
        <rFont val="Arial"/>
        <family val="2"/>
      </rPr>
      <t>fair value</t>
    </r>
  </si>
  <si>
    <t>2.1.  Acquisti</t>
  </si>
  <si>
    <t>2.2. Profitti imputati a:</t>
  </si>
  <si>
    <t xml:space="preserve">       2.2.1</t>
  </si>
  <si>
    <t xml:space="preserve"> Conto economico</t>
  </si>
  <si>
    <t xml:space="preserve">      di cui: plusvalenze</t>
  </si>
  <si>
    <t xml:space="preserve">       2.2.2 Patrimonio netto</t>
  </si>
  <si>
    <t>2.3.  Trasferimenti da altri livelli</t>
  </si>
  <si>
    <t>2.4.  Altre variazioni in aumento</t>
  </si>
  <si>
    <t>3.1.  Vendite</t>
  </si>
  <si>
    <t>3.2.  Rimborsi</t>
  </si>
  <si>
    <t>3.3. Perdite imputate a:</t>
  </si>
  <si>
    <t xml:space="preserve">       3.3.1</t>
  </si>
  <si>
    <t xml:space="preserve">      di cui: minusvalenze</t>
  </si>
  <si>
    <t xml:space="preserve">       3.3.2 Patrimonio netto</t>
  </si>
  <si>
    <t>3.4.  Trasferimenti ad altri livelli</t>
  </si>
  <si>
    <t>3.5.  Altre variazioni in diminuzione</t>
  </si>
  <si>
    <t>2.2. Perdite imputate a:</t>
  </si>
  <si>
    <t>3.1.  Rimborsi</t>
  </si>
  <si>
    <t>3.2.  Riacquisti</t>
  </si>
  <si>
    <t>3.3. Profitti imputati a:</t>
  </si>
  <si>
    <r>
      <t xml:space="preserve">Attività/Passività non misurate al </t>
    </r>
    <r>
      <rPr>
        <i/>
        <sz val="11"/>
        <rFont val="Arial"/>
        <family val="2"/>
      </rPr>
      <t xml:space="preserve">fair value </t>
    </r>
    <r>
      <rPr>
        <sz val="11"/>
        <rFont val="Arial"/>
        <family val="2"/>
      </rPr>
      <t xml:space="preserve">o misurate al </t>
    </r>
    <r>
      <rPr>
        <i/>
        <sz val="11"/>
        <rFont val="Arial"/>
        <family val="2"/>
      </rPr>
      <t>fair value</t>
    </r>
    <r>
      <rPr>
        <sz val="11"/>
        <rFont val="Arial"/>
        <family val="2"/>
      </rPr>
      <t>su base non ricorrente</t>
    </r>
  </si>
  <si>
    <t>B6. Altre variazioni</t>
  </si>
  <si>
    <t>Liv. 2</t>
  </si>
  <si>
    <t>Minibond UBC SpA</t>
  </si>
  <si>
    <t>fair value al 30/06/2017</t>
  </si>
  <si>
    <t>bilancio 31/12/2016</t>
  </si>
  <si>
    <t>bilancio 28/02/2017</t>
  </si>
  <si>
    <t>acquisita in data 29/12/2010 - ceduta in data 22/05/2017</t>
  </si>
  <si>
    <t>chiesta copia di quelli di Sistemi Territoriali</t>
  </si>
  <si>
    <t>manca il 54</t>
  </si>
  <si>
    <t>mancano i nuovi certificati</t>
  </si>
  <si>
    <t>ex 293-337-352</t>
  </si>
  <si>
    <t>non approvato alla data del 31/08/2017</t>
  </si>
  <si>
    <t>97-98-100-101</t>
  </si>
  <si>
    <t>Riserva negativa per azioni proprie in portafoglio</t>
  </si>
  <si>
    <t>Riserva sovrapprezzo azioni</t>
  </si>
  <si>
    <t>Altre riserve e utile (perdite) a nuovo</t>
  </si>
  <si>
    <t>Riserva legale</t>
  </si>
  <si>
    <t>Altre riserve</t>
  </si>
  <si>
    <t>acquisita in data 28/12/2017 (fusione per incorporazione di SI14 S.p.A. in M31 Italia S.r.l.)</t>
  </si>
  <si>
    <t>M31 Italia S.r.l.</t>
  </si>
  <si>
    <t>partecip. al 31/12/2017</t>
  </si>
  <si>
    <t>acquisita in data 23/12/2013 - fusa per incorporazione in M31 Italia S.r.l. in data 28/12/2017</t>
  </si>
  <si>
    <t>acquisita in data 01/10/2015 - ceduta in data 20/12/2017</t>
  </si>
  <si>
    <t>prima acquisizione in data 17/06/2014 - acquisizione del controllo in data 16/11/2017</t>
  </si>
  <si>
    <t>Walking Pipe S.p.A. in liquidazione</t>
  </si>
  <si>
    <t>acquisita in data 16/03/2015 - messa in liquidazione in data 28/07/2017</t>
  </si>
  <si>
    <t>Variazioni bilancio 31/12/2017</t>
  </si>
  <si>
    <t>SI 14 S.p.A. (fusa in M31 Italia S.r.l.)</t>
  </si>
  <si>
    <t>4-5</t>
  </si>
  <si>
    <t>Ceduta (Dematerializzate)</t>
  </si>
  <si>
    <t>fusa in M31 Italia S(41 + nuovi certificati)</t>
  </si>
  <si>
    <t>Bellelli Engineering S.r.l.</t>
  </si>
  <si>
    <t>M31 ITALIA S.r.l.</t>
  </si>
  <si>
    <t>girate alla Regione (55-56-58-59-60-61)</t>
  </si>
  <si>
    <t>bilancio 31/10/2017</t>
  </si>
  <si>
    <t>variazione del capitale sociale a seguito della fusionecon SI14 S.p.A.</t>
  </si>
  <si>
    <t>bilancio 30/06/2017</t>
  </si>
  <si>
    <t>val.azione 29/12/2017 (quotazione)</t>
  </si>
  <si>
    <t>numero azioni residue al 29/12/2017</t>
  </si>
  <si>
    <t>fair value al 29/12/2017</t>
  </si>
  <si>
    <t>CERTIFICATI AZIONARI al 31/12/2017</t>
  </si>
  <si>
    <t>Valore contabile al 31/12/2017              (4)</t>
  </si>
  <si>
    <r>
      <rPr>
        <b/>
        <i/>
        <sz val="11"/>
        <rFont val="Arial"/>
        <family val="2"/>
      </rPr>
      <t>Fair value</t>
    </r>
    <r>
      <rPr>
        <b/>
        <sz val="11"/>
        <rFont val="Arial"/>
        <family val="2"/>
      </rPr>
      <t xml:space="preserve"> al 31/12/2017 (5)</t>
    </r>
  </si>
  <si>
    <t>31/12/2017                         (4)</t>
  </si>
  <si>
    <t>31/12/2016                         (5)</t>
  </si>
  <si>
    <t>31/12/2017                    (6)</t>
  </si>
  <si>
    <t>31/12/2016                       (7)</t>
  </si>
  <si>
    <t>scadenza</t>
  </si>
  <si>
    <t>5 anni dalla stipula del contratto di investimento</t>
  </si>
  <si>
    <t>nessuna scasenza</t>
  </si>
  <si>
    <t>5 anni dalla stipula del contratto di investimento di Si14. S.p.A. (23/12/2013)</t>
  </si>
  <si>
    <t>Consiglio di Amm. e nel</t>
  </si>
  <si>
    <t>Collegio Sindacale</t>
  </si>
  <si>
    <t>1 consigliere</t>
  </si>
  <si>
    <t>5 anni dalla stipula del contratto di investimento prolungabile di altri 2 anni</t>
  </si>
  <si>
    <t>1 consigliere + 1 sindaco effettivo</t>
  </si>
  <si>
    <t>---</t>
  </si>
  <si>
    <t>Sindaco Unico (condiviso con i partners)</t>
  </si>
  <si>
    <t xml:space="preserve">1 consigliere + 1 sindaco effettivo (Presidente) </t>
  </si>
  <si>
    <t>1 consigliere + Sindaco Uncio</t>
  </si>
  <si>
    <t>1 sindaco effettivo (Presidente) + 1 sindaco supplente</t>
  </si>
  <si>
    <t xml:space="preserve">1 sindaco effettivo (Presidente) </t>
  </si>
  <si>
    <t>5 consiglieri + 3 sindaci effettivi e 2 sindaci supplenti</t>
  </si>
  <si>
    <t>2 consiglieri (compreso il Presidente)+ Sindaco Unico</t>
  </si>
  <si>
    <t>2 consiglieri (compreso il Presidente)+ 1 sindaco  effettivo + 1 sindaco supplente</t>
  </si>
  <si>
    <t>1 consigliere (da nominare) + 1 sindaco supplente</t>
  </si>
  <si>
    <t>1 sindaco effettivo + 1 sindaco supplente</t>
  </si>
  <si>
    <t>1 consigliere + 1 sindaco effettivo + 1 sindaco supplente</t>
  </si>
  <si>
    <t>N.ro rappresentanti di Veneto Sviluppo nel</t>
  </si>
  <si>
    <t>per il consigliere Euro 8.000 annui; per il sindaco effettivo un compenso secondo la tariffa dei Dottori Commercialisti</t>
  </si>
  <si>
    <t>compensi rappresentanti VS</t>
  </si>
  <si>
    <t>in attesa dei verbali</t>
  </si>
  <si>
    <t>1 consigliere + 1 sindaco effettivo (Presidente)</t>
  </si>
  <si>
    <t>per il consigliere Euro 12.000 annui; per il Presidente del Collegio sindacale Euro 7.500 annui</t>
  </si>
  <si>
    <t>per il Sindaco Unico Euro 10.000 + rimb.spese</t>
  </si>
  <si>
    <t>per il consigliere Euro 3.000 annui; per il sindaco effettivo Euro 7.000 annui</t>
  </si>
  <si>
    <t>1 consigliere + Sindaco Unico</t>
  </si>
  <si>
    <t>Euro 6.000 per il Consigliere; per il Sindaco Unico Euro 10.500 annui</t>
  </si>
  <si>
    <t>1 consigliere + 1 sindaco  effettivo (Presidente) + 1 sindaco supplente</t>
  </si>
  <si>
    <t>nessuno compenso per il Consigliere + Euro 7.500 per il Presidente del Collegio sinacale</t>
  </si>
  <si>
    <t>nessuno compenso per il Consigliere + Euro 7.000 per il Presidente del Collegio sinacale</t>
  </si>
  <si>
    <t>Euro 3.600 annui</t>
  </si>
  <si>
    <t>11.807               (28/02/17)</t>
  </si>
  <si>
    <t>1.636.675            (31/10/16)</t>
  </si>
  <si>
    <t>768.891           (31/10/15)</t>
  </si>
  <si>
    <t>1.982.838 (31/10/17)</t>
  </si>
  <si>
    <t>-3.676.119      (30/06/17)</t>
  </si>
  <si>
    <t>437.584    (30/06/16)</t>
  </si>
  <si>
    <t>1.121.283    (30/06/15)</t>
  </si>
  <si>
    <r>
      <rPr>
        <sz val="10"/>
        <color indexed="10"/>
        <rFont val="Verdana"/>
        <family val="2"/>
      </rPr>
      <t>in attesa di chiariment</t>
    </r>
    <r>
      <rPr>
        <sz val="10"/>
        <rFont val="Verdana"/>
        <family val="2"/>
      </rPr>
      <t>i+ Sindaco effettivo 5.500 + Euro 100 a riunione del CDA e Ass. Soci</t>
    </r>
  </si>
  <si>
    <r>
      <rPr>
        <i/>
        <sz val="10"/>
        <rFont val="Verdana"/>
        <family val="2"/>
      </rPr>
      <t>fair value</t>
    </r>
    <r>
      <rPr>
        <sz val="10"/>
        <rFont val="Verdana"/>
        <family val="2"/>
      </rPr>
      <t xml:space="preserve"> azione</t>
    </r>
  </si>
  <si>
    <r>
      <t xml:space="preserve">variazioni di </t>
    </r>
    <r>
      <rPr>
        <b/>
        <i/>
        <sz val="10"/>
        <rFont val="Verdana"/>
        <family val="2"/>
      </rPr>
      <t>fair value</t>
    </r>
  </si>
  <si>
    <r>
      <t xml:space="preserve">variaz. </t>
    </r>
    <r>
      <rPr>
        <b/>
        <i/>
        <sz val="10"/>
        <rFont val="Verdana"/>
        <family val="2"/>
      </rPr>
      <t>fv</t>
    </r>
    <r>
      <rPr>
        <b/>
        <sz val="10"/>
        <rFont val="Verdana"/>
        <family val="2"/>
      </rPr>
      <t xml:space="preserve"> al 31/12/2017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</si>
  <si>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collegate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</si>
  <si>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available for sale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</si>
  <si>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attività non correnti e gruppi di attività in via di dismissione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</si>
  <si>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controllate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</si>
  <si>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joint venture</t>
    </r>
  </si>
  <si>
    <t>VENETO SVILUPPO S.P.A. - Documento Anticorruzione e Trasparenza</t>
  </si>
  <si>
    <t>-191.595     (30/06/15)</t>
  </si>
  <si>
    <t>RISULTATO DI BILANCIO D'ESERCIZIO AL</t>
  </si>
  <si>
    <t>-737.156   (28/02/16)</t>
  </si>
  <si>
    <t>-450.123 (31/12/15)</t>
  </si>
  <si>
    <t>acquisita in data 10/02/2011 - società fallita in data 09/02/2018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</si>
</sst>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&quot;€&quot;* #,##0_-;\-&quot;€&quot;* #,##0_-;_-&quot;€&quot;* &quot;-&quot;_-;_-@_-"/>
    <numFmt numFmtId="166" formatCode="_-&quot;€&quot;* #,##0.00_-;\-&quot;€&quot;* #,##0.00_-;_-&quot;€&quot;* &quot;-&quot;??_-;_-@_-"/>
    <numFmt numFmtId="167" formatCode="\-"/>
    <numFmt numFmtId="168" formatCode="#,##0;\(#,##0\)"/>
    <numFmt numFmtId="169" formatCode="_-* #,##0_-;\-* #,##0_-;_-* &quot;-&quot;??_-;_-@_-"/>
    <numFmt numFmtId="170" formatCode="&quot;Vero&quot;;&quot;Vero&quot;;&quot;Falso&quot;"/>
    <numFmt numFmtId="171" formatCode="_-* #,##0.00_-;\-* #,##0.00_-;_-* &quot;-&quot;_-;_-@_-"/>
    <numFmt numFmtId="172" formatCode="0.000%"/>
    <numFmt numFmtId="173" formatCode="#,##0.00000_);\(#,##0.00000\)"/>
    <numFmt numFmtId="174" formatCode="#,##0.000_);\(#,##0.000\)"/>
    <numFmt numFmtId="175" formatCode="#,##0.000_ ;\-#,##0.000\ "/>
    <numFmt numFmtId="176" formatCode="#,##0.0000_);\(#,##0.0000\)"/>
    <numFmt numFmtId="177" formatCode="#,##0.0_);\(#,##0.0\)"/>
    <numFmt numFmtId="178" formatCode="#,##0.00;\(#,##0.00\)"/>
    <numFmt numFmtId="179" formatCode="#,##0.00_ ;\-#,##0.00\ "/>
    <numFmt numFmtId="180" formatCode="#,##0.000;\-#,##0.000"/>
    <numFmt numFmtId="181" formatCode="#,##0.0000;\-#,##0.0000"/>
    <numFmt numFmtId="182" formatCode="#,##0.0000000000;\-#,##0.0000000000"/>
    <numFmt numFmtId="183" formatCode="#,##0_ ;\-#,##0\ "/>
    <numFmt numFmtId="184" formatCode="0.0000000"/>
    <numFmt numFmtId="185" formatCode="0.000\ %"/>
    <numFmt numFmtId="186" formatCode="[$-410]dddd\ d\ mmmm\ yyyy"/>
    <numFmt numFmtId="187" formatCode="#,##0.00000;\-#,##0.00000"/>
    <numFmt numFmtId="188" formatCode="#,##0.0;\-#,##0.0"/>
    <numFmt numFmtId="189" formatCode="0.0000\ %"/>
    <numFmt numFmtId="190" formatCode="0.00000\ %"/>
    <numFmt numFmtId="191" formatCode="0.000000\ %"/>
    <numFmt numFmtId="192" formatCode="#,##0.000000_);\(#,##0.000000\)"/>
    <numFmt numFmtId="193" formatCode="#,##0.0000000_);\(#,##0.0000000\)"/>
    <numFmt numFmtId="194" formatCode="0.0000000\ %"/>
    <numFmt numFmtId="195" formatCode="#,##0.000000;\-#,##0.000000"/>
    <numFmt numFmtId="196" formatCode="#,##0.0000000;\-#,##0.0000000"/>
    <numFmt numFmtId="197" formatCode="&quot;Sì&quot;;&quot;Sì&quot;;&quot;No&quot;"/>
    <numFmt numFmtId="198" formatCode="&quot;Attivo&quot;;&quot;Attivo&quot;;&quot;Inattivo&quot;"/>
    <numFmt numFmtId="199" formatCode="[$€-2]\ #.##000_);[Red]\([$€-2]\ #.##000\)"/>
    <numFmt numFmtId="200" formatCode="0.0%"/>
    <numFmt numFmtId="201" formatCode="0.0000%"/>
    <numFmt numFmtId="202" formatCode="0.0"/>
    <numFmt numFmtId="203" formatCode="#,##0.0"/>
    <numFmt numFmtId="204" formatCode="_-* #,##0.0_-;\-* #,##0.0_-;_-* &quot;-&quot;??_-;_-@_-"/>
    <numFmt numFmtId="205" formatCode="#,##0.0;\(#,##0.0\)"/>
    <numFmt numFmtId="206" formatCode="#,##0.000;\(#,##0.000\)"/>
    <numFmt numFmtId="207" formatCode="#,##0.0000;\(#,##0.0000\)"/>
    <numFmt numFmtId="208" formatCode="0_ ;\-0\ "/>
    <numFmt numFmtId="209" formatCode="d/m/yy;@"/>
    <numFmt numFmtId="210" formatCode="0.00000000\ %"/>
    <numFmt numFmtId="211" formatCode="0.000000000\ %"/>
    <numFmt numFmtId="212" formatCode="0.0000000000\ %"/>
    <numFmt numFmtId="213" formatCode="0.00000000000\ %"/>
    <numFmt numFmtId="214" formatCode="0.00\ %"/>
    <numFmt numFmtId="215" formatCode="0.0\ %"/>
    <numFmt numFmtId="216" formatCode="0\ %"/>
    <numFmt numFmtId="217" formatCode="dd/mm/yy;@"/>
  </numFmts>
  <fonts count="17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6"/>
      <name val="Arial"/>
      <family val="2"/>
    </font>
    <font>
      <b/>
      <sz val="12"/>
      <name val="Arial Narrow"/>
      <family val="2"/>
    </font>
    <font>
      <sz val="12"/>
      <color indexed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u val="single"/>
      <sz val="9"/>
      <name val="Arial Narrow"/>
      <family val="2"/>
    </font>
    <font>
      <sz val="11"/>
      <name val="Arial Narrow"/>
      <family val="2"/>
    </font>
    <font>
      <sz val="12"/>
      <name val="Helv"/>
      <family val="0"/>
    </font>
    <font>
      <i/>
      <sz val="9"/>
      <name val="Arial"/>
      <family val="2"/>
    </font>
    <font>
      <u val="single"/>
      <sz val="11"/>
      <name val="Arial"/>
      <family val="2"/>
    </font>
    <font>
      <sz val="11"/>
      <name val="Calibri"/>
      <family val="2"/>
    </font>
    <font>
      <i/>
      <sz val="11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sz val="9"/>
      <name val="Arial"/>
      <family val="2"/>
    </font>
    <font>
      <i/>
      <sz val="9"/>
      <name val="Verdana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sz val="12"/>
      <name val="Calibri"/>
      <family val="2"/>
    </font>
    <font>
      <b/>
      <i/>
      <sz val="11"/>
      <name val="Arial Narrow"/>
      <family val="2"/>
    </font>
    <font>
      <u val="single"/>
      <sz val="9"/>
      <name val="Arial"/>
      <family val="2"/>
    </font>
    <font>
      <b/>
      <sz val="11"/>
      <color indexed="21"/>
      <name val="Arial Narrow"/>
      <family val="2"/>
    </font>
    <font>
      <sz val="12"/>
      <color indexed="21"/>
      <name val="Arial"/>
      <family val="2"/>
    </font>
    <font>
      <b/>
      <u val="single"/>
      <sz val="11"/>
      <name val="Arial Narrow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color indexed="14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i/>
      <sz val="10"/>
      <color indexed="12"/>
      <name val="Verdana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color indexed="20"/>
      <name val="Verdana"/>
      <family val="2"/>
    </font>
    <font>
      <b/>
      <i/>
      <sz val="10"/>
      <color indexed="14"/>
      <name val="Verdana"/>
      <family val="2"/>
    </font>
    <font>
      <b/>
      <i/>
      <sz val="10"/>
      <color indexed="20"/>
      <name val="Verdana"/>
      <family val="2"/>
    </font>
    <font>
      <b/>
      <sz val="10"/>
      <color indexed="61"/>
      <name val="Verdana"/>
      <family val="2"/>
    </font>
    <font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12"/>
      <color indexed="56"/>
      <name val="Arial Narrow"/>
      <family val="2"/>
    </font>
    <font>
      <b/>
      <sz val="8"/>
      <color indexed="56"/>
      <name val="Arial Narrow"/>
      <family val="2"/>
    </font>
    <font>
      <b/>
      <sz val="12"/>
      <color indexed="10"/>
      <name val="Arial Narrow"/>
      <family val="2"/>
    </font>
    <font>
      <b/>
      <i/>
      <sz val="12"/>
      <color indexed="56"/>
      <name val="Arial Narrow"/>
      <family val="2"/>
    </font>
    <font>
      <sz val="10"/>
      <color indexed="23"/>
      <name val="Arial"/>
      <family val="2"/>
    </font>
    <font>
      <b/>
      <sz val="12"/>
      <color indexed="49"/>
      <name val="Arial Narrow"/>
      <family val="2"/>
    </font>
    <font>
      <sz val="12"/>
      <color indexed="49"/>
      <name val="Arial Narrow"/>
      <family val="2"/>
    </font>
    <font>
      <i/>
      <sz val="12"/>
      <color indexed="10"/>
      <name val="Arial Narrow"/>
      <family val="2"/>
    </font>
    <font>
      <i/>
      <sz val="12"/>
      <color indexed="49"/>
      <name val="Arial Narrow"/>
      <family val="2"/>
    </font>
    <font>
      <b/>
      <i/>
      <sz val="12"/>
      <color indexed="49"/>
      <name val="Arial Narrow"/>
      <family val="2"/>
    </font>
    <font>
      <b/>
      <sz val="11"/>
      <color indexed="30"/>
      <name val="Arial Narrow"/>
      <family val="2"/>
    </font>
    <font>
      <i/>
      <sz val="11"/>
      <color indexed="49"/>
      <name val="Arial"/>
      <family val="2"/>
    </font>
    <font>
      <b/>
      <sz val="11"/>
      <color indexed="49"/>
      <name val="Arial Narrow"/>
      <family val="2"/>
    </font>
    <font>
      <b/>
      <i/>
      <sz val="11"/>
      <color indexed="49"/>
      <name val="Arial Narrow"/>
      <family val="2"/>
    </font>
    <font>
      <i/>
      <sz val="11"/>
      <color indexed="49"/>
      <name val="Arial Narrow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4"/>
      <name val="Verdana"/>
      <family val="2"/>
    </font>
    <font>
      <i/>
      <sz val="10"/>
      <color indexed="14"/>
      <name val="Verdana"/>
      <family val="2"/>
    </font>
    <font>
      <b/>
      <sz val="10"/>
      <color indexed="30"/>
      <name val="Verdana"/>
      <family val="2"/>
    </font>
    <font>
      <b/>
      <sz val="10"/>
      <color indexed="62"/>
      <name val="Verdana"/>
      <family val="2"/>
    </font>
    <font>
      <i/>
      <sz val="10"/>
      <color indexed="10"/>
      <name val="Verdana"/>
      <family val="2"/>
    </font>
    <font>
      <i/>
      <sz val="10"/>
      <color indexed="9"/>
      <name val="Verdana"/>
      <family val="2"/>
    </font>
    <font>
      <b/>
      <i/>
      <sz val="10"/>
      <color indexed="30"/>
      <name val="Verdana"/>
      <family val="2"/>
    </font>
    <font>
      <u val="single"/>
      <sz val="10"/>
      <color indexed="62"/>
      <name val="Verdana"/>
      <family val="2"/>
    </font>
    <font>
      <b/>
      <i/>
      <sz val="10"/>
      <color indexed="62"/>
      <name val="Verdana"/>
      <family val="2"/>
    </font>
    <font>
      <b/>
      <u val="single"/>
      <sz val="10"/>
      <color indexed="30"/>
      <name val="Verdana"/>
      <family val="2"/>
    </font>
    <font>
      <b/>
      <u val="single"/>
      <sz val="10"/>
      <color indexed="62"/>
      <name val="Verdana"/>
      <family val="2"/>
    </font>
    <font>
      <sz val="9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12"/>
      <color theme="3"/>
      <name val="Arial Narrow"/>
      <family val="2"/>
    </font>
    <font>
      <b/>
      <sz val="8"/>
      <color theme="3"/>
      <name val="Arial Narrow"/>
      <family val="2"/>
    </font>
    <font>
      <b/>
      <sz val="12"/>
      <color rgb="FFFF0000"/>
      <name val="Arial Narrow"/>
      <family val="2"/>
    </font>
    <font>
      <b/>
      <i/>
      <sz val="12"/>
      <color theme="3"/>
      <name val="Arial Narrow"/>
      <family val="2"/>
    </font>
    <font>
      <sz val="10"/>
      <color theme="0" tint="-0.4999699890613556"/>
      <name val="Arial"/>
      <family val="2"/>
    </font>
    <font>
      <b/>
      <sz val="12"/>
      <color theme="8" tint="-0.24997000396251678"/>
      <name val="Arial Narrow"/>
      <family val="2"/>
    </font>
    <font>
      <sz val="12"/>
      <color theme="8" tint="-0.24997000396251678"/>
      <name val="Arial Narrow"/>
      <family val="2"/>
    </font>
    <font>
      <i/>
      <sz val="12"/>
      <color rgb="FFFF0000"/>
      <name val="Arial Narrow"/>
      <family val="2"/>
    </font>
    <font>
      <i/>
      <sz val="12"/>
      <color theme="8"/>
      <name val="Arial Narrow"/>
      <family val="2"/>
    </font>
    <font>
      <b/>
      <i/>
      <sz val="12"/>
      <color theme="8" tint="-0.24997000396251678"/>
      <name val="Arial Narrow"/>
      <family val="2"/>
    </font>
    <font>
      <b/>
      <sz val="11"/>
      <color rgb="FF0070C0"/>
      <name val="Arial Narrow"/>
      <family val="2"/>
    </font>
    <font>
      <i/>
      <sz val="11"/>
      <color theme="8" tint="-0.24997000396251678"/>
      <name val="Arial"/>
      <family val="2"/>
    </font>
    <font>
      <b/>
      <sz val="11"/>
      <color theme="8" tint="-0.24997000396251678"/>
      <name val="Arial Narrow"/>
      <family val="2"/>
    </font>
    <font>
      <b/>
      <i/>
      <sz val="11"/>
      <color theme="8" tint="-0.24997000396251678"/>
      <name val="Arial Narrow"/>
      <family val="2"/>
    </font>
    <font>
      <i/>
      <sz val="11"/>
      <color theme="8" tint="-0.24997000396251678"/>
      <name val="Arial Narrow"/>
      <family val="2"/>
    </font>
    <font>
      <b/>
      <sz val="11"/>
      <color rgb="FF008080"/>
      <name val="Arial Narrow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Verdana"/>
      <family val="2"/>
    </font>
    <font>
      <b/>
      <sz val="10"/>
      <color rgb="FFCC00CC"/>
      <name val="Verdana"/>
      <family val="2"/>
    </font>
    <font>
      <sz val="10"/>
      <color rgb="FFCC00CC"/>
      <name val="Verdana"/>
      <family val="2"/>
    </font>
    <font>
      <b/>
      <i/>
      <sz val="10"/>
      <color rgb="FFCC00CC"/>
      <name val="Verdana"/>
      <family val="2"/>
    </font>
    <font>
      <i/>
      <sz val="10"/>
      <color rgb="FFCC00CC"/>
      <name val="Verdana"/>
      <family val="2"/>
    </font>
    <font>
      <b/>
      <sz val="10"/>
      <color rgb="FF0070C0"/>
      <name val="Verdana"/>
      <family val="2"/>
    </font>
    <font>
      <b/>
      <sz val="10"/>
      <color rgb="FF8238BA"/>
      <name val="Verdana"/>
      <family val="2"/>
    </font>
    <font>
      <i/>
      <sz val="10"/>
      <color rgb="FFFF0000"/>
      <name val="Verdana"/>
      <family val="2"/>
    </font>
    <font>
      <i/>
      <sz val="10"/>
      <color theme="0"/>
      <name val="Verdana"/>
      <family val="2"/>
    </font>
    <font>
      <b/>
      <i/>
      <sz val="10"/>
      <color rgb="FF0070C0"/>
      <name val="Verdana"/>
      <family val="2"/>
    </font>
    <font>
      <u val="single"/>
      <sz val="10"/>
      <color rgb="FF8238BA"/>
      <name val="Verdana"/>
      <family val="2"/>
    </font>
    <font>
      <b/>
      <i/>
      <sz val="10"/>
      <color rgb="FF8238BA"/>
      <name val="Verdana"/>
      <family val="2"/>
    </font>
    <font>
      <b/>
      <u val="single"/>
      <sz val="10"/>
      <color rgb="FF0070C0"/>
      <name val="Verdana"/>
      <family val="2"/>
    </font>
    <font>
      <b/>
      <u val="single"/>
      <sz val="10"/>
      <color rgb="FF8238BA"/>
      <name val="Verdana"/>
      <family val="2"/>
    </font>
    <font>
      <sz val="9.5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FEC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ck">
        <color theme="0"/>
      </bottom>
    </border>
    <border>
      <left>
        <color indexed="63"/>
      </left>
      <right style="medium">
        <color theme="0" tint="-0.4999699890613556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 style="thick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ck">
        <color theme="0" tint="-0.4999699890613556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ck"/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ck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>
        <color indexed="63"/>
      </bottom>
    </border>
    <border>
      <left style="thin">
        <color theme="0" tint="-0.4999699890613556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 style="thick">
        <color theme="0" tint="-0.4999699890613556"/>
      </left>
      <right style="thin"/>
      <top style="thick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ck">
        <color theme="0" tint="-0.4999699890613556"/>
      </top>
      <bottom>
        <color indexed="63"/>
      </bottom>
    </border>
    <border>
      <left style="thick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 style="thick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ck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/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n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 style="thin"/>
      <top>
        <color indexed="63"/>
      </top>
      <bottom style="thick">
        <color theme="0" tint="-0.4999699890613556"/>
      </bottom>
    </border>
    <border>
      <left style="thin"/>
      <right style="thin"/>
      <top>
        <color indexed="63"/>
      </top>
      <bottom style="thick">
        <color theme="0" tint="-0.4999699890613556"/>
      </bottom>
    </border>
    <border>
      <left style="medium">
        <color theme="0" tint="-0.3499799966812134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n">
        <color theme="0" tint="-0.4999699890613556"/>
      </right>
      <top>
        <color indexed="63"/>
      </top>
      <bottom style="medium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>
        <color theme="0" tint="-0.3499799966812134"/>
      </right>
      <top style="thin"/>
      <bottom>
        <color indexed="63"/>
      </bottom>
    </border>
    <border>
      <left style="thin"/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medium">
        <color theme="0" tint="-0.3499799966812134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/>
      <top>
        <color indexed="63"/>
      </top>
      <bottom style="medium">
        <color theme="0" tint="-0.3499799966812134"/>
      </bottom>
    </border>
    <border>
      <left style="thin"/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3499799966812134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thin"/>
      <top style="thin"/>
      <bottom>
        <color indexed="63"/>
      </bottom>
    </border>
    <border>
      <left style="medium">
        <color theme="0" tint="-0.3499799966812134"/>
      </left>
      <right style="thin"/>
      <top>
        <color indexed="63"/>
      </top>
      <bottom>
        <color indexed="63"/>
      </bottom>
    </border>
    <border>
      <left style="medium">
        <color theme="0" tint="-0.3499799966812134"/>
      </left>
      <right style="thin"/>
      <top>
        <color indexed="63"/>
      </top>
      <bottom style="thin">
        <color theme="0" tint="-0.4999699890613556"/>
      </bottom>
    </border>
    <border>
      <left style="medium">
        <color theme="0" tint="-0.3499799966812134"/>
      </left>
      <right style="thin"/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thin"/>
      <top style="thin"/>
      <bottom style="thin"/>
    </border>
    <border>
      <left>
        <color indexed="63"/>
      </left>
      <right style="medium">
        <color theme="0" tint="-0.3499799966812134"/>
      </right>
      <top style="thin"/>
      <bottom style="thin"/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3499799966812134"/>
      </right>
      <top style="thin">
        <color theme="0" tint="-0.4999699890613556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 tint="-0.3499799966812134"/>
      </right>
      <top>
        <color indexed="63"/>
      </top>
      <bottom style="thin"/>
    </border>
    <border>
      <left style="thick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3" fillId="20" borderId="1" applyNumberFormat="0" applyAlignment="0" applyProtection="0"/>
    <xf numFmtId="0" fontId="124" fillId="0" borderId="2" applyNumberFormat="0" applyFill="0" applyAlignment="0" applyProtection="0"/>
    <xf numFmtId="0" fontId="12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170" fontId="27" fillId="0" borderId="0" applyFont="0" applyFill="0" applyBorder="0" applyAlignment="0" applyProtection="0"/>
    <xf numFmtId="0" fontId="1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7" fillId="29" borderId="0" applyNumberFormat="0" applyBorder="0" applyAlignment="0" applyProtection="0"/>
    <xf numFmtId="0" fontId="0" fillId="30" borderId="4" applyNumberFormat="0" applyFont="0" applyAlignment="0" applyProtection="0"/>
    <xf numFmtId="0" fontId="12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6" fillId="31" borderId="0" applyNumberFormat="0" applyBorder="0" applyAlignment="0" applyProtection="0"/>
    <xf numFmtId="0" fontId="137" fillId="32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8" fontId="3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67" fontId="0" fillId="0" borderId="18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37" fontId="0" fillId="0" borderId="18" xfId="0" applyNumberFormat="1" applyFont="1" applyBorder="1" applyAlignment="1">
      <alignment horizontal="center" vertical="center"/>
    </xf>
    <xf numFmtId="37" fontId="3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39" fontId="2" fillId="0" borderId="18" xfId="0" applyNumberFormat="1" applyFont="1" applyFill="1" applyBorder="1" applyAlignment="1">
      <alignment horizontal="center" vertical="center"/>
    </xf>
    <xf numFmtId="39" fontId="2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7" fontId="2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7" fontId="2" fillId="0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center" wrapText="1"/>
    </xf>
    <xf numFmtId="37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9" fontId="2" fillId="0" borderId="18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9" fontId="2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71" fontId="3" fillId="0" borderId="17" xfId="47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" fillId="0" borderId="23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/>
    </xf>
    <xf numFmtId="16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3" fontId="0" fillId="0" borderId="18" xfId="0" applyNumberFormat="1" applyFont="1" applyFill="1" applyBorder="1" applyAlignment="1">
      <alignment horizontal="center" vertical="center"/>
    </xf>
    <xf numFmtId="3" fontId="138" fillId="0" borderId="14" xfId="0" applyNumberFormat="1" applyFont="1" applyFill="1" applyBorder="1" applyAlignment="1">
      <alignment horizontal="center" vertical="center"/>
    </xf>
    <xf numFmtId="39" fontId="138" fillId="0" borderId="18" xfId="0" applyNumberFormat="1" applyFont="1" applyFill="1" applyBorder="1" applyAlignment="1">
      <alignment horizontal="center" vertical="center"/>
    </xf>
    <xf numFmtId="39" fontId="138" fillId="0" borderId="23" xfId="0" applyNumberFormat="1" applyFont="1" applyFill="1" applyBorder="1" applyAlignment="1">
      <alignment horizontal="center" vertical="center"/>
    </xf>
    <xf numFmtId="0" fontId="138" fillId="0" borderId="18" xfId="0" applyFont="1" applyFill="1" applyBorder="1" applyAlignment="1">
      <alignment horizontal="center" vertical="center" wrapText="1"/>
    </xf>
    <xf numFmtId="3" fontId="138" fillId="0" borderId="18" xfId="0" applyNumberFormat="1" applyFont="1" applyFill="1" applyBorder="1" applyAlignment="1">
      <alignment horizontal="center" vertical="center"/>
    </xf>
    <xf numFmtId="39" fontId="2" fillId="0" borderId="2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23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 quotePrefix="1">
      <alignment vertical="center"/>
    </xf>
    <xf numFmtId="37" fontId="2" fillId="0" borderId="0" xfId="0" applyNumberFormat="1" applyFont="1" applyFill="1" applyBorder="1" applyAlignment="1" quotePrefix="1">
      <alignment vertical="center" wrapText="1"/>
    </xf>
    <xf numFmtId="37" fontId="3" fillId="0" borderId="18" xfId="0" applyNumberFormat="1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7" fontId="0" fillId="0" borderId="1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8" fontId="3" fillId="0" borderId="18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 wrapText="1"/>
    </xf>
    <xf numFmtId="37" fontId="2" fillId="0" borderId="0" xfId="0" applyNumberFormat="1" applyFont="1" applyBorder="1" applyAlignment="1">
      <alignment horizontal="right" vertical="center" wrapText="1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138" fillId="0" borderId="14" xfId="0" applyNumberFormat="1" applyFont="1" applyFill="1" applyBorder="1" applyAlignment="1">
      <alignment horizontal="center" vertical="center"/>
    </xf>
    <xf numFmtId="167" fontId="138" fillId="0" borderId="18" xfId="0" applyNumberFormat="1" applyFont="1" applyFill="1" applyBorder="1" applyAlignment="1">
      <alignment horizontal="center" vertical="center"/>
    </xf>
    <xf numFmtId="0" fontId="139" fillId="34" borderId="0" xfId="0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7" fontId="138" fillId="0" borderId="23" xfId="0" applyNumberFormat="1" applyFont="1" applyFill="1" applyBorder="1" applyAlignment="1">
      <alignment horizontal="center" vertical="center"/>
    </xf>
    <xf numFmtId="37" fontId="2" fillId="0" borderId="14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43" fontId="2" fillId="0" borderId="0" xfId="46" applyFont="1" applyBorder="1" applyAlignment="1">
      <alignment horizontal="center" vertical="center"/>
    </xf>
    <xf numFmtId="37" fontId="0" fillId="0" borderId="14" xfId="0" applyNumberFormat="1" applyFont="1" applyBorder="1" applyAlignment="1">
      <alignment horizontal="center" vertical="center"/>
    </xf>
    <xf numFmtId="37" fontId="2" fillId="0" borderId="14" xfId="0" applyNumberFormat="1" applyFont="1" applyBorder="1" applyAlignment="1">
      <alignment vertical="center" wrapText="1"/>
    </xf>
    <xf numFmtId="37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9" fontId="2" fillId="0" borderId="14" xfId="46" applyNumberFormat="1" applyFont="1" applyBorder="1" applyAlignment="1">
      <alignment vertical="center"/>
    </xf>
    <xf numFmtId="169" fontId="2" fillId="0" borderId="18" xfId="46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8" fontId="0" fillId="0" borderId="2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67" fontId="139" fillId="0" borderId="18" xfId="0" applyNumberFormat="1" applyFont="1" applyBorder="1" applyAlignment="1">
      <alignment horizontal="center" vertical="center"/>
    </xf>
    <xf numFmtId="37" fontId="2" fillId="0" borderId="14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67" fontId="4" fillId="0" borderId="18" xfId="0" applyNumberFormat="1" applyFont="1" applyBorder="1" applyAlignment="1">
      <alignment horizontal="right" vertical="center"/>
    </xf>
    <xf numFmtId="37" fontId="0" fillId="0" borderId="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140" fillId="0" borderId="18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167" fontId="4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7" fontId="2" fillId="0" borderId="14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Fill="1" applyAlignment="1">
      <alignment vertical="center"/>
    </xf>
    <xf numFmtId="37" fontId="14" fillId="35" borderId="23" xfId="0" applyNumberFormat="1" applyFont="1" applyFill="1" applyBorder="1" applyAlignment="1">
      <alignment vertical="center"/>
    </xf>
    <xf numFmtId="169" fontId="14" fillId="0" borderId="0" xfId="46" applyNumberFormat="1" applyFont="1" applyFill="1" applyBorder="1" applyAlignment="1">
      <alignment vertical="center"/>
    </xf>
    <xf numFmtId="37" fontId="14" fillId="35" borderId="0" xfId="0" applyNumberFormat="1" applyFont="1" applyFill="1" applyBorder="1" applyAlignment="1">
      <alignment vertical="center"/>
    </xf>
    <xf numFmtId="39" fontId="14" fillId="35" borderId="0" xfId="0" applyNumberFormat="1" applyFont="1" applyFill="1" applyBorder="1" applyAlignment="1">
      <alignment vertical="center"/>
    </xf>
    <xf numFmtId="39" fontId="13" fillId="35" borderId="0" xfId="0" applyNumberFormat="1" applyFont="1" applyFill="1" applyBorder="1" applyAlignment="1">
      <alignment vertical="center"/>
    </xf>
    <xf numFmtId="37" fontId="14" fillId="35" borderId="0" xfId="0" applyNumberFormat="1" applyFont="1" applyFill="1" applyBorder="1" applyAlignment="1">
      <alignment horizontal="right" vertical="center"/>
    </xf>
    <xf numFmtId="39" fontId="14" fillId="35" borderId="0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Alignment="1">
      <alignment vertical="center"/>
    </xf>
    <xf numFmtId="39" fontId="14" fillId="30" borderId="18" xfId="0" applyNumberFormat="1" applyFont="1" applyFill="1" applyBorder="1" applyAlignment="1">
      <alignment vertical="center"/>
    </xf>
    <xf numFmtId="37" fontId="12" fillId="0" borderId="25" xfId="0" applyNumberFormat="1" applyFont="1" applyBorder="1" applyAlignment="1">
      <alignment vertical="center"/>
    </xf>
    <xf numFmtId="39" fontId="14" fillId="0" borderId="26" xfId="0" applyNumberFormat="1" applyFont="1" applyBorder="1" applyAlignment="1">
      <alignment vertical="center"/>
    </xf>
    <xf numFmtId="37" fontId="14" fillId="0" borderId="26" xfId="0" applyNumberFormat="1" applyFont="1" applyBorder="1" applyAlignment="1">
      <alignment vertical="center"/>
    </xf>
    <xf numFmtId="39" fontId="14" fillId="0" borderId="27" xfId="0" applyNumberFormat="1" applyFont="1" applyBorder="1" applyAlignment="1">
      <alignment vertical="center"/>
    </xf>
    <xf numFmtId="39" fontId="14" fillId="0" borderId="26" xfId="0" applyNumberFormat="1" applyFont="1" applyBorder="1" applyAlignment="1">
      <alignment horizontal="right" vertical="center"/>
    </xf>
    <xf numFmtId="37" fontId="14" fillId="0" borderId="28" xfId="0" applyNumberFormat="1" applyFont="1" applyBorder="1" applyAlignment="1">
      <alignment vertical="center"/>
    </xf>
    <xf numFmtId="37" fontId="13" fillId="0" borderId="0" xfId="0" applyNumberFormat="1" applyFont="1" applyFill="1" applyAlignment="1">
      <alignment vertical="center"/>
    </xf>
    <xf numFmtId="37" fontId="13" fillId="0" borderId="0" xfId="0" applyNumberFormat="1" applyFont="1" applyAlignment="1">
      <alignment vertical="center"/>
    </xf>
    <xf numFmtId="37" fontId="12" fillId="0" borderId="29" xfId="0" applyNumberFormat="1" applyFont="1" applyBorder="1" applyAlignment="1">
      <alignment vertical="center"/>
    </xf>
    <xf numFmtId="39" fontId="14" fillId="0" borderId="0" xfId="0" applyNumberFormat="1" applyFont="1" applyBorder="1" applyAlignment="1">
      <alignment vertical="center"/>
    </xf>
    <xf numFmtId="37" fontId="14" fillId="0" borderId="0" xfId="0" applyNumberFormat="1" applyFont="1" applyBorder="1" applyAlignment="1">
      <alignment vertical="center"/>
    </xf>
    <xf numFmtId="39" fontId="14" fillId="0" borderId="14" xfId="0" applyNumberFormat="1" applyFont="1" applyBorder="1" applyAlignment="1">
      <alignment vertical="center"/>
    </xf>
    <xf numFmtId="39" fontId="14" fillId="0" borderId="0" xfId="0" applyNumberFormat="1" applyFont="1" applyBorder="1" applyAlignment="1">
      <alignment horizontal="right" vertical="center"/>
    </xf>
    <xf numFmtId="37" fontId="14" fillId="0" borderId="30" xfId="0" applyNumberFormat="1" applyFont="1" applyBorder="1" applyAlignment="1">
      <alignment vertical="center"/>
    </xf>
    <xf numFmtId="37" fontId="12" fillId="0" borderId="31" xfId="0" applyNumberFormat="1" applyFont="1" applyBorder="1" applyAlignment="1">
      <alignment horizontal="center" vertical="center"/>
    </xf>
    <xf numFmtId="39" fontId="12" fillId="0" borderId="10" xfId="0" applyNumberFormat="1" applyFont="1" applyBorder="1" applyAlignment="1">
      <alignment horizontal="center" vertical="center"/>
    </xf>
    <xf numFmtId="37" fontId="19" fillId="0" borderId="13" xfId="0" applyNumberFormat="1" applyFont="1" applyBorder="1" applyAlignment="1">
      <alignment horizontal="centerContinuous" vertical="center"/>
    </xf>
    <xf numFmtId="37" fontId="12" fillId="0" borderId="11" xfId="0" applyNumberFormat="1" applyFont="1" applyBorder="1" applyAlignment="1">
      <alignment horizontal="center" vertical="center"/>
    </xf>
    <xf numFmtId="39" fontId="12" fillId="0" borderId="13" xfId="0" applyNumberFormat="1" applyFont="1" applyBorder="1" applyAlignment="1">
      <alignment horizontal="center" vertical="center"/>
    </xf>
    <xf numFmtId="39" fontId="12" fillId="0" borderId="12" xfId="0" applyNumberFormat="1" applyFont="1" applyBorder="1" applyAlignment="1">
      <alignment horizontal="center" vertical="center"/>
    </xf>
    <xf numFmtId="37" fontId="12" fillId="0" borderId="32" xfId="0" applyNumberFormat="1" applyFont="1" applyBorder="1" applyAlignment="1">
      <alignment horizontal="center" vertical="center"/>
    </xf>
    <xf numFmtId="39" fontId="12" fillId="0" borderId="24" xfId="0" applyNumberFormat="1" applyFont="1" applyBorder="1" applyAlignment="1">
      <alignment horizontal="center" vertical="center"/>
    </xf>
    <xf numFmtId="37" fontId="12" fillId="0" borderId="22" xfId="0" applyNumberFormat="1" applyFont="1" applyBorder="1" applyAlignment="1">
      <alignment horizontal="centerContinuous" vertical="center"/>
    </xf>
    <xf numFmtId="37" fontId="12" fillId="0" borderId="20" xfId="0" applyNumberFormat="1" applyFont="1" applyBorder="1" applyAlignment="1">
      <alignment horizontal="center" vertical="center"/>
    </xf>
    <xf numFmtId="39" fontId="12" fillId="0" borderId="22" xfId="0" applyNumberFormat="1" applyFont="1" applyBorder="1" applyAlignment="1">
      <alignment horizontal="center" vertical="center"/>
    </xf>
    <xf numFmtId="39" fontId="12" fillId="0" borderId="21" xfId="0" applyNumberFormat="1" applyFont="1" applyBorder="1" applyAlignment="1">
      <alignment horizontal="center" vertical="center"/>
    </xf>
    <xf numFmtId="39" fontId="12" fillId="0" borderId="21" xfId="0" applyNumberFormat="1" applyFont="1" applyBorder="1" applyAlignment="1">
      <alignment horizontal="right" vertical="center"/>
    </xf>
    <xf numFmtId="37" fontId="12" fillId="0" borderId="33" xfId="0" applyNumberFormat="1" applyFont="1" applyBorder="1" applyAlignment="1">
      <alignment horizontal="center" vertical="center"/>
    </xf>
    <xf numFmtId="39" fontId="14" fillId="0" borderId="18" xfId="0" applyNumberFormat="1" applyFont="1" applyBorder="1" applyAlignment="1">
      <alignment vertical="center"/>
    </xf>
    <xf numFmtId="39" fontId="14" fillId="0" borderId="18" xfId="0" applyNumberFormat="1" applyFont="1" applyBorder="1" applyAlignment="1">
      <alignment horizontal="right" vertical="center"/>
    </xf>
    <xf numFmtId="37" fontId="14" fillId="0" borderId="34" xfId="0" applyNumberFormat="1" applyFont="1" applyBorder="1" applyAlignment="1">
      <alignment horizontal="right" vertical="center"/>
    </xf>
    <xf numFmtId="37" fontId="12" fillId="0" borderId="35" xfId="0" applyNumberFormat="1" applyFont="1" applyBorder="1" applyAlignment="1">
      <alignment vertical="center"/>
    </xf>
    <xf numFmtId="39" fontId="14" fillId="0" borderId="18" xfId="0" applyNumberFormat="1" applyFont="1" applyFill="1" applyBorder="1" applyAlignment="1">
      <alignment vertical="center"/>
    </xf>
    <xf numFmtId="37" fontId="22" fillId="0" borderId="18" xfId="0" applyNumberFormat="1" applyFont="1" applyBorder="1" applyAlignment="1">
      <alignment vertical="center"/>
    </xf>
    <xf numFmtId="37" fontId="14" fillId="0" borderId="0" xfId="0" applyNumberFormat="1" applyFont="1" applyAlignment="1">
      <alignment vertical="center"/>
    </xf>
    <xf numFmtId="39" fontId="14" fillId="0" borderId="14" xfId="0" applyNumberFormat="1" applyFont="1" applyFill="1" applyBorder="1" applyAlignment="1">
      <alignment vertical="center"/>
    </xf>
    <xf numFmtId="37" fontId="23" fillId="10" borderId="36" xfId="0" applyNumberFormat="1" applyFont="1" applyFill="1" applyBorder="1" applyAlignment="1">
      <alignment vertical="center"/>
    </xf>
    <xf numFmtId="39" fontId="12" fillId="10" borderId="12" xfId="0" applyNumberFormat="1" applyFont="1" applyFill="1" applyBorder="1" applyAlignment="1">
      <alignment vertical="center"/>
    </xf>
    <xf numFmtId="37" fontId="24" fillId="10" borderId="13" xfId="0" applyNumberFormat="1" applyFont="1" applyFill="1" applyBorder="1" applyAlignment="1">
      <alignment horizontal="right" vertical="center"/>
    </xf>
    <xf numFmtId="174" fontId="23" fillId="10" borderId="13" xfId="0" applyNumberFormat="1" applyFont="1" applyFill="1" applyBorder="1" applyAlignment="1">
      <alignment vertical="center"/>
    </xf>
    <xf numFmtId="39" fontId="14" fillId="10" borderId="13" xfId="0" applyNumberFormat="1" applyFont="1" applyFill="1" applyBorder="1" applyAlignment="1">
      <alignment vertical="center"/>
    </xf>
    <xf numFmtId="39" fontId="14" fillId="10" borderId="12" xfId="0" applyNumberFormat="1" applyFont="1" applyFill="1" applyBorder="1" applyAlignment="1">
      <alignment horizontal="center" vertical="center"/>
    </xf>
    <xf numFmtId="39" fontId="14" fillId="10" borderId="13" xfId="0" applyNumberFormat="1" applyFont="1" applyFill="1" applyBorder="1" applyAlignment="1">
      <alignment horizontal="center" vertical="center"/>
    </xf>
    <xf numFmtId="39" fontId="14" fillId="10" borderId="13" xfId="0" applyNumberFormat="1" applyFont="1" applyFill="1" applyBorder="1" applyAlignment="1">
      <alignment horizontal="right" vertical="center"/>
    </xf>
    <xf numFmtId="37" fontId="14" fillId="10" borderId="37" xfId="0" applyNumberFormat="1" applyFont="1" applyFill="1" applyBorder="1" applyAlignment="1">
      <alignment horizontal="center" vertical="center"/>
    </xf>
    <xf numFmtId="37" fontId="141" fillId="0" borderId="0" xfId="0" applyNumberFormat="1" applyFont="1" applyFill="1" applyAlignment="1">
      <alignment vertical="center"/>
    </xf>
    <xf numFmtId="37" fontId="21" fillId="0" borderId="35" xfId="0" applyNumberFormat="1" applyFont="1" applyFill="1" applyBorder="1" applyAlignment="1">
      <alignment vertical="center"/>
    </xf>
    <xf numFmtId="37" fontId="22" fillId="0" borderId="18" xfId="0" applyNumberFormat="1" applyFont="1" applyFill="1" applyBorder="1" applyAlignment="1">
      <alignment horizontal="right" vertical="center"/>
    </xf>
    <xf numFmtId="37" fontId="14" fillId="0" borderId="18" xfId="0" applyNumberFormat="1" applyFont="1" applyFill="1" applyBorder="1" applyAlignment="1">
      <alignment vertical="center"/>
    </xf>
    <xf numFmtId="39" fontId="14" fillId="0" borderId="18" xfId="0" applyNumberFormat="1" applyFont="1" applyFill="1" applyBorder="1" applyAlignment="1">
      <alignment horizontal="right" vertical="center"/>
    </xf>
    <xf numFmtId="37" fontId="14" fillId="0" borderId="34" xfId="0" applyNumberFormat="1" applyFont="1" applyFill="1" applyBorder="1" applyAlignment="1">
      <alignment vertical="center"/>
    </xf>
    <xf numFmtId="37" fontId="23" fillId="10" borderId="35" xfId="0" applyNumberFormat="1" applyFont="1" applyFill="1" applyBorder="1" applyAlignment="1">
      <alignment vertical="center"/>
    </xf>
    <xf numFmtId="39" fontId="12" fillId="10" borderId="14" xfId="0" applyNumberFormat="1" applyFont="1" applyFill="1" applyBorder="1" applyAlignment="1">
      <alignment vertical="center"/>
    </xf>
    <xf numFmtId="37" fontId="24" fillId="10" borderId="18" xfId="0" applyNumberFormat="1" applyFont="1" applyFill="1" applyBorder="1" applyAlignment="1">
      <alignment horizontal="right" vertical="center"/>
    </xf>
    <xf numFmtId="174" fontId="23" fillId="10" borderId="18" xfId="0" applyNumberFormat="1" applyFont="1" applyFill="1" applyBorder="1" applyAlignment="1">
      <alignment vertical="center"/>
    </xf>
    <xf numFmtId="39" fontId="14" fillId="10" borderId="18" xfId="0" applyNumberFormat="1" applyFont="1" applyFill="1" applyBorder="1" applyAlignment="1">
      <alignment vertical="center"/>
    </xf>
    <xf numFmtId="39" fontId="14" fillId="10" borderId="14" xfId="0" applyNumberFormat="1" applyFont="1" applyFill="1" applyBorder="1" applyAlignment="1">
      <alignment horizontal="center" vertical="center"/>
    </xf>
    <xf numFmtId="39" fontId="14" fillId="10" borderId="18" xfId="0" applyNumberFormat="1" applyFont="1" applyFill="1" applyBorder="1" applyAlignment="1">
      <alignment horizontal="center" vertical="center"/>
    </xf>
    <xf numFmtId="39" fontId="14" fillId="10" borderId="18" xfId="0" applyNumberFormat="1" applyFont="1" applyFill="1" applyBorder="1" applyAlignment="1">
      <alignment horizontal="right" vertical="center"/>
    </xf>
    <xf numFmtId="37" fontId="14" fillId="10" borderId="34" xfId="0" applyNumberFormat="1" applyFont="1" applyFill="1" applyBorder="1" applyAlignment="1">
      <alignment horizontal="center" vertical="center"/>
    </xf>
    <xf numFmtId="39" fontId="14" fillId="35" borderId="18" xfId="0" applyNumberFormat="1" applyFont="1" applyFill="1" applyBorder="1" applyAlignment="1">
      <alignment vertical="center"/>
    </xf>
    <xf numFmtId="39" fontId="14" fillId="35" borderId="18" xfId="0" applyNumberFormat="1" applyFont="1" applyFill="1" applyBorder="1" applyAlignment="1">
      <alignment horizontal="right" vertical="center"/>
    </xf>
    <xf numFmtId="37" fontId="14" fillId="35" borderId="34" xfId="0" applyNumberFormat="1" applyFont="1" applyFill="1" applyBorder="1" applyAlignment="1">
      <alignment horizontal="center" vertical="center"/>
    </xf>
    <xf numFmtId="39" fontId="141" fillId="10" borderId="18" xfId="0" applyNumberFormat="1" applyFont="1" applyFill="1" applyBorder="1" applyAlignment="1">
      <alignment horizontal="right" vertical="center"/>
    </xf>
    <xf numFmtId="37" fontId="14" fillId="10" borderId="38" xfId="0" applyNumberFormat="1" applyFont="1" applyFill="1" applyBorder="1" applyAlignment="1">
      <alignment vertical="center"/>
    </xf>
    <xf numFmtId="39" fontId="12" fillId="10" borderId="17" xfId="0" applyNumberFormat="1" applyFont="1" applyFill="1" applyBorder="1" applyAlignment="1">
      <alignment vertical="center"/>
    </xf>
    <xf numFmtId="37" fontId="24" fillId="10" borderId="17" xfId="0" applyNumberFormat="1" applyFont="1" applyFill="1" applyBorder="1" applyAlignment="1">
      <alignment vertical="center"/>
    </xf>
    <xf numFmtId="176" fontId="12" fillId="10" borderId="15" xfId="0" applyNumberFormat="1" applyFont="1" applyFill="1" applyBorder="1" applyAlignment="1">
      <alignment vertical="center"/>
    </xf>
    <xf numFmtId="39" fontId="12" fillId="10" borderId="17" xfId="0" applyNumberFormat="1" applyFont="1" applyFill="1" applyBorder="1" applyAlignment="1">
      <alignment horizontal="right" vertical="center"/>
    </xf>
    <xf numFmtId="37" fontId="14" fillId="10" borderId="39" xfId="0" applyNumberFormat="1" applyFont="1" applyFill="1" applyBorder="1" applyAlignment="1">
      <alignment vertical="center"/>
    </xf>
    <xf numFmtId="39" fontId="14" fillId="0" borderId="0" xfId="0" applyNumberFormat="1" applyFont="1" applyFill="1" applyAlignment="1">
      <alignment vertical="center"/>
    </xf>
    <xf numFmtId="43" fontId="14" fillId="10" borderId="12" xfId="46" applyFont="1" applyFill="1" applyBorder="1" applyAlignment="1">
      <alignment horizontal="center" vertical="center"/>
    </xf>
    <xf numFmtId="37" fontId="17" fillId="30" borderId="35" xfId="0" applyNumberFormat="1" applyFont="1" applyFill="1" applyBorder="1" applyAlignment="1">
      <alignment vertical="center"/>
    </xf>
    <xf numFmtId="37" fontId="25" fillId="30" borderId="18" xfId="0" applyNumberFormat="1" applyFont="1" applyFill="1" applyBorder="1" applyAlignment="1">
      <alignment vertical="center"/>
    </xf>
    <xf numFmtId="39" fontId="14" fillId="30" borderId="0" xfId="0" applyNumberFormat="1" applyFont="1" applyFill="1" applyBorder="1" applyAlignment="1">
      <alignment horizontal="right" vertical="center"/>
    </xf>
    <xf numFmtId="39" fontId="14" fillId="30" borderId="18" xfId="0" applyNumberFormat="1" applyFont="1" applyFill="1" applyBorder="1" applyAlignment="1">
      <alignment horizontal="right" vertical="center"/>
    </xf>
    <xf numFmtId="37" fontId="14" fillId="30" borderId="34" xfId="0" applyNumberFormat="1" applyFont="1" applyFill="1" applyBorder="1" applyAlignment="1">
      <alignment horizontal="center" vertical="center"/>
    </xf>
    <xf numFmtId="37" fontId="12" fillId="35" borderId="35" xfId="0" applyNumberFormat="1" applyFont="1" applyFill="1" applyBorder="1" applyAlignment="1">
      <alignment vertical="center"/>
    </xf>
    <xf numFmtId="37" fontId="22" fillId="35" borderId="18" xfId="0" applyNumberFormat="1" applyFont="1" applyFill="1" applyBorder="1" applyAlignment="1">
      <alignment vertical="center"/>
    </xf>
    <xf numFmtId="37" fontId="14" fillId="30" borderId="18" xfId="0" applyNumberFormat="1" applyFont="1" applyFill="1" applyBorder="1" applyAlignment="1">
      <alignment horizontal="right" vertical="center"/>
    </xf>
    <xf numFmtId="37" fontId="17" fillId="35" borderId="35" xfId="0" applyNumberFormat="1" applyFont="1" applyFill="1" applyBorder="1" applyAlignment="1">
      <alignment vertical="center"/>
    </xf>
    <xf numFmtId="37" fontId="22" fillId="30" borderId="18" xfId="0" applyNumberFormat="1" applyFont="1" applyFill="1" applyBorder="1" applyAlignment="1">
      <alignment horizontal="right" vertical="center"/>
    </xf>
    <xf numFmtId="37" fontId="22" fillId="35" borderId="18" xfId="0" applyNumberFormat="1" applyFont="1" applyFill="1" applyBorder="1" applyAlignment="1">
      <alignment horizontal="right" vertical="center"/>
    </xf>
    <xf numFmtId="39" fontId="14" fillId="35" borderId="14" xfId="0" applyNumberFormat="1" applyFont="1" applyFill="1" applyBorder="1" applyAlignment="1">
      <alignment horizontal="right" vertical="center"/>
    </xf>
    <xf numFmtId="37" fontId="14" fillId="35" borderId="18" xfId="0" applyNumberFormat="1" applyFont="1" applyFill="1" applyBorder="1" applyAlignment="1">
      <alignment horizontal="right" vertical="center"/>
    </xf>
    <xf numFmtId="173" fontId="14" fillId="35" borderId="18" xfId="0" applyNumberFormat="1" applyFont="1" applyFill="1" applyBorder="1" applyAlignment="1">
      <alignment horizontal="right" vertical="center"/>
    </xf>
    <xf numFmtId="37" fontId="22" fillId="30" borderId="18" xfId="0" applyNumberFormat="1" applyFont="1" applyFill="1" applyBorder="1" applyAlignment="1">
      <alignment vertical="center"/>
    </xf>
    <xf numFmtId="176" fontId="14" fillId="35" borderId="18" xfId="0" applyNumberFormat="1" applyFont="1" applyFill="1" applyBorder="1" applyAlignment="1">
      <alignment horizontal="right" vertical="center"/>
    </xf>
    <xf numFmtId="37" fontId="22" fillId="30" borderId="24" xfId="0" applyNumberFormat="1" applyFont="1" applyFill="1" applyBorder="1" applyAlignment="1">
      <alignment vertical="center"/>
    </xf>
    <xf numFmtId="39" fontId="14" fillId="30" borderId="24" xfId="0" applyNumberFormat="1" applyFont="1" applyFill="1" applyBorder="1" applyAlignment="1">
      <alignment horizontal="right" vertical="center"/>
    </xf>
    <xf numFmtId="39" fontId="14" fillId="30" borderId="14" xfId="0" applyNumberFormat="1" applyFont="1" applyFill="1" applyBorder="1" applyAlignment="1">
      <alignment horizontal="right" vertical="center"/>
    </xf>
    <xf numFmtId="37" fontId="12" fillId="35" borderId="40" xfId="0" applyNumberFormat="1" applyFont="1" applyFill="1" applyBorder="1" applyAlignment="1">
      <alignment vertical="center"/>
    </xf>
    <xf numFmtId="39" fontId="14" fillId="35" borderId="17" xfId="0" applyNumberFormat="1" applyFont="1" applyFill="1" applyBorder="1" applyAlignment="1">
      <alignment vertical="center"/>
    </xf>
    <xf numFmtId="37" fontId="22" fillId="35" borderId="15" xfId="0" applyNumberFormat="1" applyFont="1" applyFill="1" applyBorder="1" applyAlignment="1">
      <alignment vertical="center"/>
    </xf>
    <xf numFmtId="37" fontId="12" fillId="35" borderId="15" xfId="0" applyNumberFormat="1" applyFont="1" applyFill="1" applyBorder="1" applyAlignment="1">
      <alignment vertical="center"/>
    </xf>
    <xf numFmtId="39" fontId="12" fillId="35" borderId="17" xfId="0" applyNumberFormat="1" applyFont="1" applyFill="1" applyBorder="1" applyAlignment="1">
      <alignment vertical="center"/>
    </xf>
    <xf numFmtId="39" fontId="14" fillId="35" borderId="39" xfId="0" applyNumberFormat="1" applyFont="1" applyFill="1" applyBorder="1" applyAlignment="1">
      <alignment horizontal="right" vertical="center"/>
    </xf>
    <xf numFmtId="37" fontId="14" fillId="0" borderId="29" xfId="0" applyNumberFormat="1" applyFont="1" applyBorder="1" applyAlignment="1">
      <alignment vertical="center"/>
    </xf>
    <xf numFmtId="37" fontId="22" fillId="0" borderId="23" xfId="0" applyNumberFormat="1" applyFont="1" applyBorder="1" applyAlignment="1">
      <alignment vertical="center"/>
    </xf>
    <xf numFmtId="37" fontId="14" fillId="0" borderId="23" xfId="0" applyNumberFormat="1" applyFont="1" applyBorder="1" applyAlignment="1">
      <alignment vertical="center"/>
    </xf>
    <xf numFmtId="37" fontId="14" fillId="0" borderId="34" xfId="0" applyNumberFormat="1" applyFont="1" applyBorder="1" applyAlignment="1">
      <alignment vertical="center"/>
    </xf>
    <xf numFmtId="37" fontId="14" fillId="0" borderId="38" xfId="0" applyNumberFormat="1" applyFont="1" applyFill="1" applyBorder="1" applyAlignment="1">
      <alignment vertical="center"/>
    </xf>
    <xf numFmtId="39" fontId="12" fillId="0" borderId="17" xfId="0" applyNumberFormat="1" applyFont="1" applyFill="1" applyBorder="1" applyAlignment="1">
      <alignment vertical="center"/>
    </xf>
    <xf numFmtId="37" fontId="24" fillId="0" borderId="17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37" fontId="14" fillId="0" borderId="39" xfId="0" applyNumberFormat="1" applyFont="1" applyFill="1" applyBorder="1" applyAlignment="1">
      <alignment vertical="center"/>
    </xf>
    <xf numFmtId="37" fontId="12" fillId="36" borderId="29" xfId="0" applyNumberFormat="1" applyFont="1" applyFill="1" applyBorder="1" applyAlignment="1">
      <alignment vertical="center"/>
    </xf>
    <xf numFmtId="37" fontId="14" fillId="36" borderId="29" xfId="0" applyNumberFormat="1" applyFont="1" applyFill="1" applyBorder="1" applyAlignment="1">
      <alignment vertical="center"/>
    </xf>
    <xf numFmtId="37" fontId="17" fillId="37" borderId="29" xfId="0" applyNumberFormat="1" applyFont="1" applyFill="1" applyBorder="1" applyAlignment="1">
      <alignment vertical="center"/>
    </xf>
    <xf numFmtId="39" fontId="14" fillId="37" borderId="18" xfId="0" applyNumberFormat="1" applyFont="1" applyFill="1" applyBorder="1" applyAlignment="1">
      <alignment vertical="center"/>
    </xf>
    <xf numFmtId="37" fontId="25" fillId="37" borderId="23" xfId="0" applyNumberFormat="1" applyFont="1" applyFill="1" applyBorder="1" applyAlignment="1">
      <alignment vertical="center"/>
    </xf>
    <xf numFmtId="176" fontId="14" fillId="37" borderId="23" xfId="0" applyNumberFormat="1" applyFont="1" applyFill="1" applyBorder="1" applyAlignment="1">
      <alignment vertical="center"/>
    </xf>
    <xf numFmtId="39" fontId="14" fillId="37" borderId="18" xfId="0" applyNumberFormat="1" applyFont="1" applyFill="1" applyBorder="1" applyAlignment="1">
      <alignment horizontal="right" vertical="center"/>
    </xf>
    <xf numFmtId="37" fontId="17" fillId="36" borderId="29" xfId="0" applyNumberFormat="1" applyFont="1" applyFill="1" applyBorder="1" applyAlignment="1">
      <alignment vertical="center"/>
    </xf>
    <xf numFmtId="37" fontId="22" fillId="35" borderId="23" xfId="0" applyNumberFormat="1" applyFont="1" applyFill="1" applyBorder="1" applyAlignment="1">
      <alignment vertical="center"/>
    </xf>
    <xf numFmtId="174" fontId="14" fillId="36" borderId="23" xfId="0" applyNumberFormat="1" applyFont="1" applyFill="1" applyBorder="1" applyAlignment="1">
      <alignment vertical="center"/>
    </xf>
    <xf numFmtId="174" fontId="14" fillId="37" borderId="23" xfId="0" applyNumberFormat="1" applyFont="1" applyFill="1" applyBorder="1" applyAlignment="1">
      <alignment vertical="center"/>
    </xf>
    <xf numFmtId="37" fontId="14" fillId="37" borderId="38" xfId="0" applyNumberFormat="1" applyFont="1" applyFill="1" applyBorder="1" applyAlignment="1">
      <alignment vertical="center"/>
    </xf>
    <xf numFmtId="39" fontId="12" fillId="37" borderId="17" xfId="0" applyNumberFormat="1" applyFont="1" applyFill="1" applyBorder="1" applyAlignment="1">
      <alignment vertical="center"/>
    </xf>
    <xf numFmtId="37" fontId="24" fillId="37" borderId="17" xfId="0" applyNumberFormat="1" applyFont="1" applyFill="1" applyBorder="1" applyAlignment="1">
      <alignment vertical="center"/>
    </xf>
    <xf numFmtId="176" fontId="12" fillId="37" borderId="15" xfId="0" applyNumberFormat="1" applyFont="1" applyFill="1" applyBorder="1" applyAlignment="1">
      <alignment vertical="center"/>
    </xf>
    <xf numFmtId="39" fontId="12" fillId="37" borderId="17" xfId="0" applyNumberFormat="1" applyFont="1" applyFill="1" applyBorder="1" applyAlignment="1">
      <alignment horizontal="right" vertical="center"/>
    </xf>
    <xf numFmtId="39" fontId="14" fillId="37" borderId="39" xfId="0" applyNumberFormat="1" applyFont="1" applyFill="1" applyBorder="1" applyAlignment="1">
      <alignment vertical="center"/>
    </xf>
    <xf numFmtId="37" fontId="12" fillId="38" borderId="41" xfId="0" applyNumberFormat="1" applyFont="1" applyFill="1" applyBorder="1" applyAlignment="1">
      <alignment vertical="center"/>
    </xf>
    <xf numFmtId="37" fontId="12" fillId="38" borderId="42" xfId="0" applyNumberFormat="1" applyFont="1" applyFill="1" applyBorder="1" applyAlignment="1">
      <alignment vertical="center"/>
    </xf>
    <xf numFmtId="39" fontId="12" fillId="38" borderId="42" xfId="0" applyNumberFormat="1" applyFont="1" applyFill="1" applyBorder="1" applyAlignment="1">
      <alignment vertical="center"/>
    </xf>
    <xf numFmtId="39" fontId="14" fillId="0" borderId="0" xfId="0" applyNumberFormat="1" applyFont="1" applyAlignment="1">
      <alignment vertical="center"/>
    </xf>
    <xf numFmtId="39" fontId="14" fillId="0" borderId="20" xfId="0" applyNumberFormat="1" applyFont="1" applyBorder="1" applyAlignment="1">
      <alignment vertical="center"/>
    </xf>
    <xf numFmtId="39" fontId="14" fillId="0" borderId="0" xfId="0" applyNumberFormat="1" applyFont="1" applyAlignment="1">
      <alignment horizontal="right" vertical="center"/>
    </xf>
    <xf numFmtId="39" fontId="12" fillId="0" borderId="0" xfId="0" applyNumberFormat="1" applyFont="1" applyAlignment="1">
      <alignment vertical="center"/>
    </xf>
    <xf numFmtId="39" fontId="13" fillId="0" borderId="0" xfId="0" applyNumberFormat="1" applyFont="1" applyAlignment="1">
      <alignment vertical="center"/>
    </xf>
    <xf numFmtId="39" fontId="13" fillId="0" borderId="0" xfId="0" applyNumberFormat="1" applyFont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 wrapText="1"/>
    </xf>
    <xf numFmtId="39" fontId="12" fillId="38" borderId="43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46" applyFont="1" applyAlignment="1">
      <alignment vertical="center"/>
    </xf>
    <xf numFmtId="3" fontId="0" fillId="0" borderId="0" xfId="0" applyNumberFormat="1" applyAlignment="1">
      <alignment vertical="center"/>
    </xf>
    <xf numFmtId="167" fontId="7" fillId="0" borderId="18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37" fontId="2" fillId="0" borderId="23" xfId="0" applyNumberFormat="1" applyFont="1" applyBorder="1" applyAlignment="1">
      <alignment horizontal="right" vertical="center" wrapText="1"/>
    </xf>
    <xf numFmtId="37" fontId="2" fillId="0" borderId="14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center" vertical="center"/>
    </xf>
    <xf numFmtId="37" fontId="2" fillId="0" borderId="23" xfId="0" applyNumberFormat="1" applyFont="1" applyBorder="1" applyAlignment="1">
      <alignment vertical="center" wrapText="1"/>
    </xf>
    <xf numFmtId="37" fontId="2" fillId="0" borderId="0" xfId="0" applyNumberFormat="1" applyFont="1" applyBorder="1" applyAlignment="1">
      <alignment vertical="center" wrapText="1"/>
    </xf>
    <xf numFmtId="37" fontId="2" fillId="0" borderId="14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67" fontId="0" fillId="0" borderId="2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167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46" applyNumberFormat="1" applyFont="1" applyAlignment="1">
      <alignment vertical="center"/>
    </xf>
    <xf numFmtId="0" fontId="0" fillId="0" borderId="0" xfId="46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46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7" fontId="3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7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7" fontId="7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0" fontId="32" fillId="0" borderId="0" xfId="0" applyFont="1" applyFill="1" applyAlignment="1">
      <alignment horizontal="justify" vertical="center"/>
    </xf>
    <xf numFmtId="0" fontId="3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 quotePrefix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167" fontId="0" fillId="0" borderId="2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/>
    </xf>
    <xf numFmtId="0" fontId="139" fillId="0" borderId="14" xfId="0" applyFont="1" applyBorder="1" applyAlignment="1">
      <alignment vertical="center"/>
    </xf>
    <xf numFmtId="167" fontId="139" fillId="0" borderId="14" xfId="0" applyNumberFormat="1" applyFont="1" applyBorder="1" applyAlignment="1">
      <alignment horizontal="center" vertical="center"/>
    </xf>
    <xf numFmtId="3" fontId="139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142" fillId="0" borderId="14" xfId="0" applyNumberFormat="1" applyFont="1" applyFill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164" fontId="143" fillId="0" borderId="14" xfId="0" applyNumberFormat="1" applyFont="1" applyFill="1" applyBorder="1" applyAlignment="1">
      <alignment vertical="center"/>
    </xf>
    <xf numFmtId="169" fontId="0" fillId="0" borderId="14" xfId="46" applyNumberFormat="1" applyFont="1" applyFill="1" applyBorder="1" applyAlignment="1">
      <alignment vertical="center"/>
    </xf>
    <xf numFmtId="0" fontId="0" fillId="0" borderId="14" xfId="46" applyNumberFormat="1" applyFont="1" applyFill="1" applyBorder="1" applyAlignment="1">
      <alignment horizontal="center" vertical="center"/>
    </xf>
    <xf numFmtId="37" fontId="0" fillId="0" borderId="14" xfId="46" applyNumberFormat="1" applyFont="1" applyFill="1" applyBorder="1" applyAlignment="1">
      <alignment horizontal="center" vertical="center"/>
    </xf>
    <xf numFmtId="169" fontId="0" fillId="0" borderId="14" xfId="4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7" fontId="0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0" fontId="138" fillId="0" borderId="0" xfId="0" applyFont="1" applyFill="1" applyAlignment="1">
      <alignment vertical="center"/>
    </xf>
    <xf numFmtId="168" fontId="2" fillId="0" borderId="0" xfId="0" applyNumberFormat="1" applyFont="1" applyAlignment="1">
      <alignment vertical="center"/>
    </xf>
    <xf numFmtId="3" fontId="2" fillId="0" borderId="24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1" fontId="3" fillId="0" borderId="10" xfId="47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3" fillId="39" borderId="0" xfId="0" applyFont="1" applyFill="1" applyAlignment="1">
      <alignment vertical="center"/>
    </xf>
    <xf numFmtId="0" fontId="33" fillId="40" borderId="0" xfId="0" applyFont="1" applyFill="1" applyAlignment="1">
      <alignment vertical="center" wrapText="1"/>
    </xf>
    <xf numFmtId="43" fontId="33" fillId="40" borderId="0" xfId="46" applyFont="1" applyFill="1" applyAlignment="1">
      <alignment vertical="center"/>
    </xf>
    <xf numFmtId="0" fontId="33" fillId="40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43" fontId="33" fillId="40" borderId="0" xfId="46" applyFont="1" applyFill="1" applyBorder="1" applyAlignment="1">
      <alignment vertical="center"/>
    </xf>
    <xf numFmtId="43" fontId="33" fillId="39" borderId="0" xfId="46" applyFont="1" applyFill="1" applyAlignment="1">
      <alignment vertical="center"/>
    </xf>
    <xf numFmtId="39" fontId="0" fillId="0" borderId="0" xfId="0" applyNumberFormat="1" applyFont="1" applyAlignment="1">
      <alignment vertical="center"/>
    </xf>
    <xf numFmtId="0" fontId="35" fillId="4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43" fontId="30" fillId="0" borderId="0" xfId="46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169" fontId="0" fillId="0" borderId="22" xfId="46" applyNumberFormat="1" applyFont="1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9" fontId="0" fillId="0" borderId="18" xfId="46" applyNumberFormat="1" applyFont="1" applyBorder="1" applyAlignment="1">
      <alignment vertical="center"/>
    </xf>
    <xf numFmtId="169" fontId="0" fillId="0" borderId="14" xfId="46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9" fontId="7" fillId="0" borderId="17" xfId="0" applyNumberFormat="1" applyFont="1" applyBorder="1" applyAlignment="1">
      <alignment vertical="center"/>
    </xf>
    <xf numFmtId="169" fontId="7" fillId="0" borderId="16" xfId="0" applyNumberFormat="1" applyFont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138" fillId="0" borderId="14" xfId="0" applyFont="1" applyFill="1" applyBorder="1" applyAlignment="1">
      <alignment vertical="center"/>
    </xf>
    <xf numFmtId="0" fontId="139" fillId="0" borderId="14" xfId="0" applyFont="1" applyFill="1" applyBorder="1" applyAlignment="1">
      <alignment vertical="center"/>
    </xf>
    <xf numFmtId="3" fontId="14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1" fillId="0" borderId="0" xfId="46" applyNumberFormat="1" applyFont="1" applyFill="1" applyAlignment="1">
      <alignment vertical="center"/>
    </xf>
    <xf numFmtId="0" fontId="0" fillId="0" borderId="0" xfId="0" applyNumberFormat="1" applyFont="1" applyAlignment="1" quotePrefix="1">
      <alignment vertical="center"/>
    </xf>
    <xf numFmtId="43" fontId="2" fillId="0" borderId="0" xfId="46" applyFont="1" applyAlignment="1">
      <alignment vertical="center"/>
    </xf>
    <xf numFmtId="184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38" fillId="0" borderId="23" xfId="0" applyFont="1" applyFill="1" applyBorder="1" applyAlignment="1">
      <alignment horizontal="center" vertical="center"/>
    </xf>
    <xf numFmtId="169" fontId="0" fillId="0" borderId="18" xfId="46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9" fontId="139" fillId="0" borderId="14" xfId="46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64" fontId="139" fillId="0" borderId="14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left" vertical="center" wrapText="1"/>
    </xf>
    <xf numFmtId="169" fontId="36" fillId="0" borderId="14" xfId="46" applyNumberFormat="1" applyFont="1" applyFill="1" applyBorder="1" applyAlignment="1">
      <alignment horizontal="left" vertical="center" wrapText="1"/>
    </xf>
    <xf numFmtId="0" fontId="36" fillId="0" borderId="14" xfId="46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9" fontId="139" fillId="0" borderId="14" xfId="46" applyNumberFormat="1" applyFont="1" applyFill="1" applyBorder="1" applyAlignment="1">
      <alignment horizontal="right" vertical="center"/>
    </xf>
    <xf numFmtId="49" fontId="0" fillId="0" borderId="14" xfId="46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169" fontId="2" fillId="0" borderId="14" xfId="46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79" fontId="0" fillId="0" borderId="0" xfId="0" applyNumberForma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43" fontId="2" fillId="0" borderId="0" xfId="46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144" fillId="0" borderId="0" xfId="0" applyFont="1" applyAlignment="1">
      <alignment vertical="center"/>
    </xf>
    <xf numFmtId="37" fontId="3" fillId="0" borderId="17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46" applyNumberFormat="1" applyFont="1" applyFill="1" applyBorder="1" applyAlignment="1">
      <alignment vertical="center"/>
    </xf>
    <xf numFmtId="0" fontId="14" fillId="35" borderId="13" xfId="0" applyNumberFormat="1" applyFont="1" applyFill="1" applyBorder="1" applyAlignment="1">
      <alignment vertical="center"/>
    </xf>
    <xf numFmtId="0" fontId="14" fillId="35" borderId="18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vertical="center"/>
    </xf>
    <xf numFmtId="0" fontId="26" fillId="35" borderId="18" xfId="0" applyNumberFormat="1" applyFont="1" applyFill="1" applyBorder="1" applyAlignment="1">
      <alignment vertical="center"/>
    </xf>
    <xf numFmtId="0" fontId="26" fillId="0" borderId="18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168" fontId="14" fillId="35" borderId="13" xfId="46" applyNumberFormat="1" applyFont="1" applyFill="1" applyBorder="1" applyAlignment="1">
      <alignment vertical="center"/>
    </xf>
    <xf numFmtId="168" fontId="14" fillId="35" borderId="13" xfId="46" applyNumberFormat="1" applyFont="1" applyFill="1" applyBorder="1" applyAlignment="1">
      <alignment horizontal="center" vertical="center"/>
    </xf>
    <xf numFmtId="168" fontId="14" fillId="35" borderId="18" xfId="46" applyNumberFormat="1" applyFont="1" applyFill="1" applyBorder="1" applyAlignment="1">
      <alignment vertical="center"/>
    </xf>
    <xf numFmtId="168" fontId="14" fillId="35" borderId="18" xfId="46" applyNumberFormat="1" applyFont="1" applyFill="1" applyBorder="1" applyAlignment="1">
      <alignment horizontal="center" vertical="center"/>
    </xf>
    <xf numFmtId="168" fontId="14" fillId="0" borderId="18" xfId="46" applyNumberFormat="1" applyFont="1" applyFill="1" applyBorder="1" applyAlignment="1">
      <alignment vertical="center"/>
    </xf>
    <xf numFmtId="168" fontId="14" fillId="0" borderId="18" xfId="46" applyNumberFormat="1" applyFont="1" applyFill="1" applyBorder="1" applyAlignment="1">
      <alignment horizontal="center" vertical="center"/>
    </xf>
    <xf numFmtId="0" fontId="0" fillId="30" borderId="18" xfId="0" applyNumberFormat="1" applyFont="1" applyFill="1" applyBorder="1" applyAlignment="1">
      <alignment horizontal="left" vertical="center"/>
    </xf>
    <xf numFmtId="0" fontId="4" fillId="30" borderId="18" xfId="0" applyNumberFormat="1" applyFont="1" applyFill="1" applyBorder="1" applyAlignment="1">
      <alignment horizontal="left" vertical="center"/>
    </xf>
    <xf numFmtId="0" fontId="0" fillId="30" borderId="18" xfId="0" applyNumberFormat="1" applyFont="1" applyFill="1" applyBorder="1" applyAlignment="1">
      <alignment vertical="center"/>
    </xf>
    <xf numFmtId="0" fontId="8" fillId="35" borderId="18" xfId="0" applyNumberFormat="1" applyFont="1" applyFill="1" applyBorder="1" applyAlignment="1">
      <alignment vertical="center"/>
    </xf>
    <xf numFmtId="0" fontId="41" fillId="35" borderId="18" xfId="0" applyNumberFormat="1" applyFont="1" applyFill="1" applyBorder="1" applyAlignment="1">
      <alignment vertical="center"/>
    </xf>
    <xf numFmtId="37" fontId="2" fillId="35" borderId="18" xfId="0" applyNumberFormat="1" applyFont="1" applyFill="1" applyBorder="1" applyAlignment="1">
      <alignment vertical="center"/>
    </xf>
    <xf numFmtId="0" fontId="12" fillId="40" borderId="0" xfId="0" applyNumberFormat="1" applyFont="1" applyFill="1" applyBorder="1" applyAlignment="1">
      <alignment horizontal="left" vertical="center"/>
    </xf>
    <xf numFmtId="0" fontId="14" fillId="40" borderId="0" xfId="0" applyNumberFormat="1" applyFont="1" applyFill="1" applyBorder="1" applyAlignment="1">
      <alignment horizontal="left" vertical="center"/>
    </xf>
    <xf numFmtId="0" fontId="14" fillId="40" borderId="0" xfId="0" applyNumberFormat="1" applyFont="1" applyFill="1" applyBorder="1" applyAlignment="1">
      <alignment horizontal="center" vertical="center"/>
    </xf>
    <xf numFmtId="0" fontId="14" fillId="40" borderId="0" xfId="46" applyNumberFormat="1" applyFont="1" applyFill="1" applyBorder="1" applyAlignment="1">
      <alignment horizontal="left" vertical="center"/>
    </xf>
    <xf numFmtId="0" fontId="12" fillId="40" borderId="20" xfId="0" applyNumberFormat="1" applyFont="1" applyFill="1" applyBorder="1" applyAlignment="1">
      <alignment horizontal="left" vertical="center"/>
    </xf>
    <xf numFmtId="0" fontId="20" fillId="40" borderId="0" xfId="0" applyNumberFormat="1" applyFont="1" applyFill="1" applyBorder="1" applyAlignment="1">
      <alignment horizontal="left" vertical="center"/>
    </xf>
    <xf numFmtId="0" fontId="20" fillId="40" borderId="0" xfId="0" applyNumberFormat="1" applyFont="1" applyFill="1" applyBorder="1" applyAlignment="1">
      <alignment horizontal="center" vertical="center"/>
    </xf>
    <xf numFmtId="0" fontId="20" fillId="40" borderId="0" xfId="46" applyNumberFormat="1" applyFont="1" applyFill="1" applyBorder="1" applyAlignment="1">
      <alignment horizontal="left" vertical="center"/>
    </xf>
    <xf numFmtId="168" fontId="12" fillId="35" borderId="18" xfId="46" applyNumberFormat="1" applyFont="1" applyFill="1" applyBorder="1" applyAlignment="1">
      <alignment horizontal="center" vertical="center"/>
    </xf>
    <xf numFmtId="168" fontId="145" fillId="35" borderId="18" xfId="46" applyNumberFormat="1" applyFont="1" applyFill="1" applyBorder="1" applyAlignment="1">
      <alignment horizontal="center" vertical="center"/>
    </xf>
    <xf numFmtId="168" fontId="12" fillId="0" borderId="18" xfId="46" applyNumberFormat="1" applyFont="1" applyFill="1" applyBorder="1" applyAlignment="1">
      <alignment horizontal="center" vertical="center"/>
    </xf>
    <xf numFmtId="168" fontId="145" fillId="0" borderId="18" xfId="46" applyNumberFormat="1" applyFont="1" applyFill="1" applyBorder="1" applyAlignment="1">
      <alignment horizontal="center" vertical="center"/>
    </xf>
    <xf numFmtId="178" fontId="14" fillId="30" borderId="18" xfId="46" applyNumberFormat="1" applyFont="1" applyFill="1" applyBorder="1" applyAlignment="1">
      <alignment vertical="center"/>
    </xf>
    <xf numFmtId="178" fontId="14" fillId="30" borderId="18" xfId="46" applyNumberFormat="1" applyFont="1" applyFill="1" applyBorder="1" applyAlignment="1">
      <alignment horizontal="center" vertical="center"/>
    </xf>
    <xf numFmtId="178" fontId="14" fillId="30" borderId="22" xfId="46" applyNumberFormat="1" applyFont="1" applyFill="1" applyBorder="1" applyAlignment="1">
      <alignment vertical="center"/>
    </xf>
    <xf numFmtId="178" fontId="14" fillId="30" borderId="22" xfId="46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left" vertical="center"/>
    </xf>
    <xf numFmtId="0" fontId="14" fillId="0" borderId="0" xfId="46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quotePrefix="1">
      <alignment horizontal="left" vertical="center"/>
    </xf>
    <xf numFmtId="0" fontId="14" fillId="0" borderId="0" xfId="47" applyNumberFormat="1" applyFont="1" applyFill="1" applyBorder="1" applyAlignment="1">
      <alignment horizontal="left" vertical="center"/>
    </xf>
    <xf numFmtId="0" fontId="14" fillId="0" borderId="0" xfId="52" applyNumberFormat="1" applyFont="1" applyFill="1" applyBorder="1" applyAlignment="1" quotePrefix="1">
      <alignment horizontal="left" vertical="center"/>
    </xf>
    <xf numFmtId="178" fontId="14" fillId="0" borderId="0" xfId="0" applyNumberFormat="1" applyFont="1" applyFill="1" applyBorder="1" applyAlignment="1">
      <alignment horizontal="center" vertical="center"/>
    </xf>
    <xf numFmtId="169" fontId="145" fillId="0" borderId="0" xfId="46" applyNumberFormat="1" applyFont="1" applyFill="1" applyBorder="1" applyAlignment="1">
      <alignment vertical="center"/>
    </xf>
    <xf numFmtId="0" fontId="145" fillId="40" borderId="0" xfId="46" applyNumberFormat="1" applyFont="1" applyFill="1" applyBorder="1" applyAlignment="1">
      <alignment horizontal="left" vertical="center"/>
    </xf>
    <xf numFmtId="0" fontId="146" fillId="40" borderId="0" xfId="46" applyNumberFormat="1" applyFont="1" applyFill="1" applyBorder="1" applyAlignment="1">
      <alignment horizontal="left" vertical="center"/>
    </xf>
    <xf numFmtId="0" fontId="145" fillId="0" borderId="0" xfId="46" applyNumberFormat="1" applyFont="1" applyFill="1" applyBorder="1" applyAlignment="1">
      <alignment vertical="center"/>
    </xf>
    <xf numFmtId="168" fontId="145" fillId="35" borderId="13" xfId="46" applyNumberFormat="1" applyFont="1" applyFill="1" applyBorder="1" applyAlignment="1">
      <alignment horizontal="center" vertical="center"/>
    </xf>
    <xf numFmtId="178" fontId="145" fillId="30" borderId="18" xfId="46" applyNumberFormat="1" applyFont="1" applyFill="1" applyBorder="1" applyAlignment="1">
      <alignment horizontal="center" vertical="center"/>
    </xf>
    <xf numFmtId="178" fontId="15" fillId="30" borderId="18" xfId="46" applyNumberFormat="1" applyFont="1" applyFill="1" applyBorder="1" applyAlignment="1">
      <alignment horizontal="center" vertical="center"/>
    </xf>
    <xf numFmtId="178" fontId="14" fillId="30" borderId="18" xfId="46" applyNumberFormat="1" applyFont="1" applyFill="1" applyBorder="1" applyAlignment="1">
      <alignment horizontal="right" vertical="center"/>
    </xf>
    <xf numFmtId="178" fontId="14" fillId="30" borderId="22" xfId="46" applyNumberFormat="1" applyFont="1" applyFill="1" applyBorder="1" applyAlignment="1">
      <alignment horizontal="right" vertical="center"/>
    </xf>
    <xf numFmtId="178" fontId="14" fillId="35" borderId="18" xfId="46" applyNumberFormat="1" applyFont="1" applyFill="1" applyBorder="1" applyAlignment="1">
      <alignment vertical="center"/>
    </xf>
    <xf numFmtId="178" fontId="14" fillId="35" borderId="18" xfId="46" applyNumberFormat="1" applyFont="1" applyFill="1" applyBorder="1" applyAlignment="1">
      <alignment horizontal="center" vertical="center"/>
    </xf>
    <xf numFmtId="178" fontId="145" fillId="35" borderId="18" xfId="46" applyNumberFormat="1" applyFont="1" applyFill="1" applyBorder="1" applyAlignment="1">
      <alignment horizontal="center" vertical="center"/>
    </xf>
    <xf numFmtId="0" fontId="14" fillId="7" borderId="30" xfId="0" applyNumberFormat="1" applyFont="1" applyFill="1" applyBorder="1" applyAlignment="1">
      <alignment horizontal="left" vertical="center"/>
    </xf>
    <xf numFmtId="185" fontId="14" fillId="0" borderId="0" xfId="52" applyNumberFormat="1" applyFont="1" applyFill="1" applyBorder="1" applyAlignment="1">
      <alignment horizontal="center" vertical="center"/>
    </xf>
    <xf numFmtId="0" fontId="147" fillId="0" borderId="0" xfId="0" applyNumberFormat="1" applyFont="1" applyFill="1" applyBorder="1" applyAlignment="1">
      <alignment horizontal="left" vertical="center"/>
    </xf>
    <xf numFmtId="178" fontId="148" fillId="30" borderId="18" xfId="46" applyNumberFormat="1" applyFont="1" applyFill="1" applyBorder="1" applyAlignment="1">
      <alignment horizontal="center" vertical="center"/>
    </xf>
    <xf numFmtId="178" fontId="12" fillId="30" borderId="18" xfId="46" applyNumberFormat="1" applyFont="1" applyFill="1" applyBorder="1" applyAlignment="1">
      <alignment horizontal="center" vertical="center"/>
    </xf>
    <xf numFmtId="0" fontId="149" fillId="0" borderId="0" xfId="0" applyNumberFormat="1" applyFont="1" applyFill="1" applyBorder="1" applyAlignment="1">
      <alignment horizontal="left" vertical="center"/>
    </xf>
    <xf numFmtId="0" fontId="12" fillId="4" borderId="18" xfId="0" applyNumberFormat="1" applyFont="1" applyFill="1" applyBorder="1" applyAlignment="1">
      <alignment horizontal="left" vertical="center"/>
    </xf>
    <xf numFmtId="0" fontId="7" fillId="4" borderId="18" xfId="46" applyNumberFormat="1" applyFont="1" applyFill="1" applyBorder="1" applyAlignment="1">
      <alignment horizontal="center" vertical="center"/>
    </xf>
    <xf numFmtId="168" fontId="14" fillId="4" borderId="18" xfId="46" applyNumberFormat="1" applyFont="1" applyFill="1" applyBorder="1" applyAlignment="1">
      <alignment horizontal="center" vertical="center"/>
    </xf>
    <xf numFmtId="168" fontId="145" fillId="4" borderId="18" xfId="46" applyNumberFormat="1" applyFont="1" applyFill="1" applyBorder="1" applyAlignment="1">
      <alignment horizontal="center" vertical="center"/>
    </xf>
    <xf numFmtId="0" fontId="0" fillId="4" borderId="18" xfId="0" applyNumberFormat="1" applyFont="1" applyFill="1" applyBorder="1" applyAlignment="1">
      <alignment horizontal="left" vertical="center"/>
    </xf>
    <xf numFmtId="178" fontId="14" fillId="4" borderId="18" xfId="46" applyNumberFormat="1" applyFont="1" applyFill="1" applyBorder="1" applyAlignment="1">
      <alignment horizontal="right" vertical="center"/>
    </xf>
    <xf numFmtId="178" fontId="14" fillId="4" borderId="18" xfId="46" applyNumberFormat="1" applyFont="1" applyFill="1" applyBorder="1" applyAlignment="1">
      <alignment horizontal="center" vertical="center"/>
    </xf>
    <xf numFmtId="178" fontId="145" fillId="4" borderId="18" xfId="46" applyNumberFormat="1" applyFont="1" applyFill="1" applyBorder="1" applyAlignment="1">
      <alignment horizontal="center" vertical="center"/>
    </xf>
    <xf numFmtId="178" fontId="14" fillId="4" borderId="22" xfId="46" applyNumberFormat="1" applyFont="1" applyFill="1" applyBorder="1" applyAlignment="1">
      <alignment horizontal="right" vertical="center"/>
    </xf>
    <xf numFmtId="178" fontId="14" fillId="4" borderId="22" xfId="46" applyNumberFormat="1" applyFont="1" applyFill="1" applyBorder="1" applyAlignment="1">
      <alignment horizontal="center" vertical="center"/>
    </xf>
    <xf numFmtId="178" fontId="14" fillId="4" borderId="18" xfId="46" applyNumberFormat="1" applyFont="1" applyFill="1" applyBorder="1" applyAlignment="1">
      <alignment vertical="center"/>
    </xf>
    <xf numFmtId="178" fontId="14" fillId="4" borderId="22" xfId="46" applyNumberFormat="1" applyFont="1" applyFill="1" applyBorder="1" applyAlignment="1">
      <alignment vertical="center"/>
    </xf>
    <xf numFmtId="0" fontId="4" fillId="4" borderId="18" xfId="0" applyNumberFormat="1" applyFont="1" applyFill="1" applyBorder="1" applyAlignment="1">
      <alignment horizontal="left" vertical="center"/>
    </xf>
    <xf numFmtId="178" fontId="15" fillId="4" borderId="18" xfId="46" applyNumberFormat="1" applyFont="1" applyFill="1" applyBorder="1" applyAlignment="1">
      <alignment horizontal="center" vertical="center"/>
    </xf>
    <xf numFmtId="168" fontId="15" fillId="4" borderId="18" xfId="46" applyNumberFormat="1" applyFont="1" applyFill="1" applyBorder="1" applyAlignment="1">
      <alignment horizontal="center" vertical="center"/>
    </xf>
    <xf numFmtId="0" fontId="0" fillId="4" borderId="18" xfId="0" applyNumberFormat="1" applyFont="1" applyFill="1" applyBorder="1" applyAlignment="1">
      <alignment vertical="center"/>
    </xf>
    <xf numFmtId="178" fontId="14" fillId="4" borderId="13" xfId="46" applyNumberFormat="1" applyFont="1" applyFill="1" applyBorder="1" applyAlignment="1">
      <alignment vertical="center"/>
    </xf>
    <xf numFmtId="178" fontId="14" fillId="4" borderId="13" xfId="46" applyNumberFormat="1" applyFont="1" applyFill="1" applyBorder="1" applyAlignment="1">
      <alignment horizontal="center" vertical="center"/>
    </xf>
    <xf numFmtId="178" fontId="15" fillId="4" borderId="18" xfId="46" applyNumberFormat="1" applyFont="1" applyFill="1" applyBorder="1" applyAlignment="1" quotePrefix="1">
      <alignment horizontal="center" vertical="center"/>
    </xf>
    <xf numFmtId="0" fontId="0" fillId="2" borderId="18" xfId="0" applyNumberFormat="1" applyFont="1" applyFill="1" applyBorder="1" applyAlignment="1">
      <alignment horizontal="left" vertical="center"/>
    </xf>
    <xf numFmtId="178" fontId="14" fillId="2" borderId="18" xfId="46" applyNumberFormat="1" applyFont="1" applyFill="1" applyBorder="1" applyAlignment="1">
      <alignment vertical="center"/>
    </xf>
    <xf numFmtId="178" fontId="14" fillId="2" borderId="18" xfId="46" applyNumberFormat="1" applyFont="1" applyFill="1" applyBorder="1" applyAlignment="1">
      <alignment horizontal="center" vertical="center"/>
    </xf>
    <xf numFmtId="178" fontId="145" fillId="2" borderId="18" xfId="46" applyNumberFormat="1" applyFont="1" applyFill="1" applyBorder="1" applyAlignment="1">
      <alignment horizontal="center" vertical="center"/>
    </xf>
    <xf numFmtId="178" fontId="14" fillId="2" borderId="22" xfId="46" applyNumberFormat="1" applyFont="1" applyFill="1" applyBorder="1" applyAlignment="1">
      <alignment vertical="center"/>
    </xf>
    <xf numFmtId="178" fontId="14" fillId="2" borderId="22" xfId="46" applyNumberFormat="1" applyFont="1" applyFill="1" applyBorder="1" applyAlignment="1">
      <alignment horizontal="center" vertical="center"/>
    </xf>
    <xf numFmtId="0" fontId="0" fillId="41" borderId="18" xfId="0" applyNumberFormat="1" applyFont="1" applyFill="1" applyBorder="1" applyAlignment="1">
      <alignment horizontal="left" vertical="center"/>
    </xf>
    <xf numFmtId="178" fontId="14" fillId="41" borderId="18" xfId="46" applyNumberFormat="1" applyFont="1" applyFill="1" applyBorder="1" applyAlignment="1">
      <alignment vertical="center"/>
    </xf>
    <xf numFmtId="178" fontId="14" fillId="41" borderId="18" xfId="46" applyNumberFormat="1" applyFont="1" applyFill="1" applyBorder="1" applyAlignment="1">
      <alignment horizontal="center" vertical="center"/>
    </xf>
    <xf numFmtId="178" fontId="145" fillId="41" borderId="18" xfId="46" applyNumberFormat="1" applyFont="1" applyFill="1" applyBorder="1" applyAlignment="1">
      <alignment horizontal="center" vertical="center"/>
    </xf>
    <xf numFmtId="178" fontId="14" fillId="41" borderId="22" xfId="46" applyNumberFormat="1" applyFont="1" applyFill="1" applyBorder="1" applyAlignment="1">
      <alignment vertical="center"/>
    </xf>
    <xf numFmtId="178" fontId="14" fillId="41" borderId="18" xfId="46" applyNumberFormat="1" applyFont="1" applyFill="1" applyBorder="1" applyAlignment="1">
      <alignment horizontal="right" vertical="center"/>
    </xf>
    <xf numFmtId="0" fontId="4" fillId="41" borderId="18" xfId="0" applyNumberFormat="1" applyFont="1" applyFill="1" applyBorder="1" applyAlignment="1">
      <alignment horizontal="left" vertical="center"/>
    </xf>
    <xf numFmtId="178" fontId="14" fillId="41" borderId="22" xfId="46" applyNumberFormat="1" applyFont="1" applyFill="1" applyBorder="1" applyAlignment="1">
      <alignment horizontal="center" vertical="center"/>
    </xf>
    <xf numFmtId="0" fontId="23" fillId="35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8" fontId="15" fillId="41" borderId="18" xfId="46" applyNumberFormat="1" applyFont="1" applyFill="1" applyBorder="1" applyAlignment="1">
      <alignment horizontal="center" vertical="center"/>
    </xf>
    <xf numFmtId="178" fontId="15" fillId="2" borderId="18" xfId="46" applyNumberFormat="1" applyFont="1" applyFill="1" applyBorder="1" applyAlignment="1">
      <alignment horizontal="center" vertical="center"/>
    </xf>
    <xf numFmtId="0" fontId="34" fillId="35" borderId="18" xfId="0" applyNumberFormat="1" applyFont="1" applyFill="1" applyBorder="1" applyAlignment="1">
      <alignment horizontal="center" vertical="center"/>
    </xf>
    <xf numFmtId="37" fontId="41" fillId="35" borderId="18" xfId="0" applyNumberFormat="1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left" vertical="center"/>
    </xf>
    <xf numFmtId="0" fontId="0" fillId="7" borderId="0" xfId="0" applyNumberFormat="1" applyFont="1" applyFill="1" applyBorder="1" applyAlignment="1">
      <alignment horizontal="left" vertical="center"/>
    </xf>
    <xf numFmtId="178" fontId="12" fillId="7" borderId="42" xfId="0" applyNumberFormat="1" applyFont="1" applyFill="1" applyBorder="1" applyAlignment="1">
      <alignment horizontal="center" vertical="center"/>
    </xf>
    <xf numFmtId="0" fontId="7" fillId="7" borderId="42" xfId="0" applyNumberFormat="1" applyFont="1" applyFill="1" applyBorder="1" applyAlignment="1">
      <alignment horizontal="left" vertical="center"/>
    </xf>
    <xf numFmtId="0" fontId="7" fillId="7" borderId="43" xfId="0" applyNumberFormat="1" applyFont="1" applyFill="1" applyBorder="1" applyAlignment="1">
      <alignment horizontal="left" vertical="center"/>
    </xf>
    <xf numFmtId="39" fontId="150" fillId="35" borderId="44" xfId="0" applyNumberFormat="1" applyFont="1" applyFill="1" applyBorder="1" applyAlignment="1">
      <alignment vertical="center"/>
    </xf>
    <xf numFmtId="39" fontId="14" fillId="30" borderId="44" xfId="0" applyNumberFormat="1" applyFont="1" applyFill="1" applyBorder="1" applyAlignment="1">
      <alignment vertical="center"/>
    </xf>
    <xf numFmtId="39" fontId="150" fillId="30" borderId="44" xfId="0" applyNumberFormat="1" applyFont="1" applyFill="1" applyBorder="1" applyAlignment="1">
      <alignment vertical="center"/>
    </xf>
    <xf numFmtId="39" fontId="151" fillId="30" borderId="44" xfId="0" applyNumberFormat="1" applyFont="1" applyFill="1" applyBorder="1" applyAlignment="1">
      <alignment vertical="center"/>
    </xf>
    <xf numFmtId="39" fontId="14" fillId="30" borderId="45" xfId="0" applyNumberFormat="1" applyFont="1" applyFill="1" applyBorder="1" applyAlignment="1">
      <alignment vertical="center"/>
    </xf>
    <xf numFmtId="39" fontId="147" fillId="30" borderId="44" xfId="0" applyNumberFormat="1" applyFont="1" applyFill="1" applyBorder="1" applyAlignment="1">
      <alignment vertical="center"/>
    </xf>
    <xf numFmtId="39" fontId="14" fillId="33" borderId="44" xfId="0" applyNumberFormat="1" applyFont="1" applyFill="1" applyBorder="1" applyAlignment="1">
      <alignment vertical="center"/>
    </xf>
    <xf numFmtId="39" fontId="14" fillId="35" borderId="44" xfId="0" applyNumberFormat="1" applyFont="1" applyFill="1" applyBorder="1" applyAlignment="1">
      <alignment vertical="center"/>
    </xf>
    <xf numFmtId="39" fontId="152" fillId="33" borderId="44" xfId="0" applyNumberFormat="1" applyFont="1" applyFill="1" applyBorder="1" applyAlignment="1">
      <alignment vertical="center"/>
    </xf>
    <xf numFmtId="39" fontId="153" fillId="33" borderId="44" xfId="0" applyNumberFormat="1" applyFont="1" applyFill="1" applyBorder="1" applyAlignment="1">
      <alignment vertical="center"/>
    </xf>
    <xf numFmtId="39" fontId="13" fillId="35" borderId="44" xfId="0" applyNumberFormat="1" applyFont="1" applyFill="1" applyBorder="1" applyAlignment="1">
      <alignment vertical="center"/>
    </xf>
    <xf numFmtId="39" fontId="14" fillId="35" borderId="44" xfId="0" applyNumberFormat="1" applyFont="1" applyFill="1" applyBorder="1" applyAlignment="1" quotePrefix="1">
      <alignment vertical="center"/>
    </xf>
    <xf numFmtId="39" fontId="14" fillId="35" borderId="44" xfId="0" applyNumberFormat="1" applyFont="1" applyFill="1" applyBorder="1" applyAlignment="1">
      <alignment vertical="center" wrapText="1"/>
    </xf>
    <xf numFmtId="39" fontId="14" fillId="35" borderId="44" xfId="0" applyNumberFormat="1" applyFont="1" applyFill="1" applyBorder="1" applyAlignment="1">
      <alignment horizontal="center" vertical="center"/>
    </xf>
    <xf numFmtId="39" fontId="14" fillId="30" borderId="44" xfId="0" applyNumberFormat="1" applyFont="1" applyFill="1" applyBorder="1" applyAlignment="1" quotePrefix="1">
      <alignment vertical="center"/>
    </xf>
    <xf numFmtId="39" fontId="14" fillId="30" borderId="44" xfId="0" applyNumberFormat="1" applyFont="1" applyFill="1" applyBorder="1" applyAlignment="1">
      <alignment vertical="center" wrapText="1"/>
    </xf>
    <xf numFmtId="39" fontId="13" fillId="35" borderId="46" xfId="0" applyNumberFormat="1" applyFont="1" applyFill="1" applyBorder="1" applyAlignment="1">
      <alignment vertical="center"/>
    </xf>
    <xf numFmtId="14" fontId="12" fillId="35" borderId="46" xfId="0" applyNumberFormat="1" applyFont="1" applyFill="1" applyBorder="1" applyAlignment="1">
      <alignment horizontal="center" vertical="center"/>
    </xf>
    <xf numFmtId="0" fontId="14" fillId="42" borderId="0" xfId="0" applyNumberFormat="1" applyFont="1" applyFill="1" applyBorder="1" applyAlignment="1">
      <alignment vertical="center"/>
    </xf>
    <xf numFmtId="39" fontId="12" fillId="30" borderId="44" xfId="0" applyNumberFormat="1" applyFont="1" applyFill="1" applyBorder="1" applyAlignment="1">
      <alignment vertical="center"/>
    </xf>
    <xf numFmtId="39" fontId="154" fillId="30" borderId="44" xfId="0" applyNumberFormat="1" applyFont="1" applyFill="1" applyBorder="1" applyAlignment="1">
      <alignment vertical="center"/>
    </xf>
    <xf numFmtId="0" fontId="14" fillId="42" borderId="47" xfId="0" applyNumberFormat="1" applyFont="1" applyFill="1" applyBorder="1" applyAlignment="1">
      <alignment vertical="center"/>
    </xf>
    <xf numFmtId="0" fontId="14" fillId="42" borderId="48" xfId="0" applyNumberFormat="1" applyFont="1" applyFill="1" applyBorder="1" applyAlignment="1">
      <alignment vertical="center"/>
    </xf>
    <xf numFmtId="0" fontId="14" fillId="42" borderId="49" xfId="0" applyNumberFormat="1" applyFont="1" applyFill="1" applyBorder="1" applyAlignment="1">
      <alignment vertical="center"/>
    </xf>
    <xf numFmtId="0" fontId="14" fillId="42" borderId="50" xfId="0" applyNumberFormat="1" applyFont="1" applyFill="1" applyBorder="1" applyAlignment="1">
      <alignment vertical="center"/>
    </xf>
    <xf numFmtId="0" fontId="12" fillId="35" borderId="51" xfId="0" applyNumberFormat="1" applyFont="1" applyFill="1" applyBorder="1" applyAlignment="1">
      <alignment horizontal="center" vertical="center"/>
    </xf>
    <xf numFmtId="0" fontId="14" fillId="35" borderId="52" xfId="0" applyNumberFormat="1" applyFont="1" applyFill="1" applyBorder="1" applyAlignment="1">
      <alignment horizontal="center" vertical="center"/>
    </xf>
    <xf numFmtId="0" fontId="12" fillId="35" borderId="53" xfId="0" applyNumberFormat="1" applyFont="1" applyFill="1" applyBorder="1" applyAlignment="1">
      <alignment horizontal="center" vertical="center"/>
    </xf>
    <xf numFmtId="0" fontId="12" fillId="35" borderId="54" xfId="0" applyNumberFormat="1" applyFont="1" applyFill="1" applyBorder="1" applyAlignment="1">
      <alignment vertical="center"/>
    </xf>
    <xf numFmtId="0" fontId="12" fillId="35" borderId="53" xfId="0" applyNumberFormat="1" applyFont="1" applyFill="1" applyBorder="1" applyAlignment="1">
      <alignment vertical="center"/>
    </xf>
    <xf numFmtId="0" fontId="155" fillId="30" borderId="53" xfId="0" applyNumberFormat="1" applyFont="1" applyFill="1" applyBorder="1" applyAlignment="1">
      <alignment horizontal="center" vertical="center"/>
    </xf>
    <xf numFmtId="0" fontId="23" fillId="30" borderId="53" xfId="0" applyNumberFormat="1" applyFont="1" applyFill="1" applyBorder="1" applyAlignment="1">
      <alignment vertical="center"/>
    </xf>
    <xf numFmtId="0" fontId="156" fillId="30" borderId="53" xfId="0" applyNumberFormat="1" applyFont="1" applyFill="1" applyBorder="1" applyAlignment="1">
      <alignment vertical="center"/>
    </xf>
    <xf numFmtId="0" fontId="31" fillId="33" borderId="53" xfId="0" applyNumberFormat="1" applyFont="1" applyFill="1" applyBorder="1" applyAlignment="1">
      <alignment vertical="center"/>
    </xf>
    <xf numFmtId="0" fontId="0" fillId="30" borderId="53" xfId="0" applyNumberFormat="1" applyFont="1" applyFill="1" applyBorder="1" applyAlignment="1" quotePrefix="1">
      <alignment vertical="center"/>
    </xf>
    <xf numFmtId="0" fontId="0" fillId="30" borderId="53" xfId="0" applyNumberFormat="1" applyFont="1" applyFill="1" applyBorder="1" applyAlignment="1">
      <alignment vertical="center"/>
    </xf>
    <xf numFmtId="0" fontId="13" fillId="35" borderId="53" xfId="0" applyNumberFormat="1" applyFont="1" applyFill="1" applyBorder="1" applyAlignment="1">
      <alignment vertical="center"/>
    </xf>
    <xf numFmtId="0" fontId="23" fillId="35" borderId="53" xfId="0" applyNumberFormat="1" applyFont="1" applyFill="1" applyBorder="1" applyAlignment="1">
      <alignment vertical="center"/>
    </xf>
    <xf numFmtId="0" fontId="157" fillId="30" borderId="53" xfId="0" applyNumberFormat="1" applyFont="1" applyFill="1" applyBorder="1" applyAlignment="1">
      <alignment vertical="center"/>
    </xf>
    <xf numFmtId="0" fontId="158" fillId="30" borderId="53" xfId="0" applyNumberFormat="1" applyFont="1" applyFill="1" applyBorder="1" applyAlignment="1">
      <alignment vertical="center"/>
    </xf>
    <xf numFmtId="0" fontId="159" fillId="33" borderId="53" xfId="0" applyNumberFormat="1" applyFont="1" applyFill="1" applyBorder="1" applyAlignment="1">
      <alignment vertical="center"/>
    </xf>
    <xf numFmtId="0" fontId="13" fillId="35" borderId="54" xfId="0" applyNumberFormat="1" applyFont="1" applyFill="1" applyBorder="1" applyAlignment="1">
      <alignment vertical="center"/>
    </xf>
    <xf numFmtId="0" fontId="160" fillId="30" borderId="53" xfId="0" applyNumberFormat="1" applyFont="1" applyFill="1" applyBorder="1" applyAlignment="1" quotePrefix="1">
      <alignment vertical="center"/>
    </xf>
    <xf numFmtId="39" fontId="14" fillId="35" borderId="44" xfId="46" applyNumberFormat="1" applyFont="1" applyFill="1" applyBorder="1" applyAlignment="1">
      <alignment vertical="center"/>
    </xf>
    <xf numFmtId="39" fontId="14" fillId="30" borderId="44" xfId="46" applyNumberFormat="1" applyFont="1" applyFill="1" applyBorder="1" applyAlignment="1">
      <alignment vertical="center" wrapText="1"/>
    </xf>
    <xf numFmtId="39" fontId="14" fillId="30" borderId="44" xfId="46" applyNumberFormat="1" applyFont="1" applyFill="1" applyBorder="1" applyAlignment="1">
      <alignment vertical="center"/>
    </xf>
    <xf numFmtId="39" fontId="154" fillId="30" borderId="44" xfId="46" applyNumberFormat="1" applyFont="1" applyFill="1" applyBorder="1" applyAlignment="1">
      <alignment vertical="center"/>
    </xf>
    <xf numFmtId="39" fontId="153" fillId="33" borderId="44" xfId="46" applyNumberFormat="1" applyFont="1" applyFill="1" applyBorder="1" applyAlignment="1">
      <alignment vertical="center"/>
    </xf>
    <xf numFmtId="39" fontId="14" fillId="30" borderId="45" xfId="46" applyNumberFormat="1" applyFont="1" applyFill="1" applyBorder="1" applyAlignment="1">
      <alignment vertical="center"/>
    </xf>
    <xf numFmtId="39" fontId="150" fillId="30" borderId="44" xfId="46" applyNumberFormat="1" applyFont="1" applyFill="1" applyBorder="1" applyAlignment="1">
      <alignment vertical="center"/>
    </xf>
    <xf numFmtId="39" fontId="12" fillId="30" borderId="44" xfId="46" applyNumberFormat="1" applyFont="1" applyFill="1" applyBorder="1" applyAlignment="1">
      <alignment vertical="center"/>
    </xf>
    <xf numFmtId="39" fontId="13" fillId="35" borderId="44" xfId="46" applyNumberFormat="1" applyFont="1" applyFill="1" applyBorder="1" applyAlignment="1">
      <alignment vertical="center"/>
    </xf>
    <xf numFmtId="39" fontId="14" fillId="42" borderId="55" xfId="0" applyNumberFormat="1" applyFont="1" applyFill="1" applyBorder="1" applyAlignment="1">
      <alignment vertical="center"/>
    </xf>
    <xf numFmtId="39" fontId="14" fillId="42" borderId="56" xfId="0" applyNumberFormat="1" applyFont="1" applyFill="1" applyBorder="1" applyAlignment="1">
      <alignment vertical="center"/>
    </xf>
    <xf numFmtId="39" fontId="14" fillId="42" borderId="49" xfId="0" applyNumberFormat="1" applyFont="1" applyFill="1" applyBorder="1" applyAlignment="1">
      <alignment vertical="center"/>
    </xf>
    <xf numFmtId="39" fontId="14" fillId="42" borderId="0" xfId="0" applyNumberFormat="1" applyFont="1" applyFill="1" applyBorder="1" applyAlignment="1">
      <alignment vertical="center"/>
    </xf>
    <xf numFmtId="39" fontId="14" fillId="35" borderId="57" xfId="0" applyNumberFormat="1" applyFont="1" applyFill="1" applyBorder="1" applyAlignment="1">
      <alignment vertical="center"/>
    </xf>
    <xf numFmtId="39" fontId="13" fillId="35" borderId="57" xfId="0" applyNumberFormat="1" applyFont="1" applyFill="1" applyBorder="1" applyAlignment="1">
      <alignment vertical="center"/>
    </xf>
    <xf numFmtId="39" fontId="13" fillId="35" borderId="58" xfId="0" applyNumberFormat="1" applyFont="1" applyFill="1" applyBorder="1" applyAlignment="1">
      <alignment vertical="center"/>
    </xf>
    <xf numFmtId="39" fontId="13" fillId="35" borderId="59" xfId="0" applyNumberFormat="1" applyFont="1" applyFill="1" applyBorder="1" applyAlignment="1">
      <alignment vertical="center"/>
    </xf>
    <xf numFmtId="39" fontId="14" fillId="34" borderId="56" xfId="0" applyNumberFormat="1" applyFont="1" applyFill="1" applyBorder="1" applyAlignment="1">
      <alignment vertical="center"/>
    </xf>
    <xf numFmtId="39" fontId="13" fillId="34" borderId="56" xfId="0" applyNumberFormat="1" applyFont="1" applyFill="1" applyBorder="1" applyAlignment="1">
      <alignment vertical="center"/>
    </xf>
    <xf numFmtId="39" fontId="13" fillId="35" borderId="56" xfId="0" applyNumberFormat="1" applyFont="1" applyFill="1" applyBorder="1" applyAlignment="1">
      <alignment vertical="center"/>
    </xf>
    <xf numFmtId="39" fontId="13" fillId="35" borderId="60" xfId="0" applyNumberFormat="1" applyFont="1" applyFill="1" applyBorder="1" applyAlignment="1">
      <alignment vertical="center"/>
    </xf>
    <xf numFmtId="39" fontId="12" fillId="35" borderId="61" xfId="0" applyNumberFormat="1" applyFont="1" applyFill="1" applyBorder="1" applyAlignment="1">
      <alignment horizontal="center" vertical="center"/>
    </xf>
    <xf numFmtId="39" fontId="12" fillId="35" borderId="44" xfId="0" applyNumberFormat="1" applyFont="1" applyFill="1" applyBorder="1" applyAlignment="1">
      <alignment horizontal="center" vertical="center"/>
    </xf>
    <xf numFmtId="39" fontId="18" fillId="35" borderId="44" xfId="0" applyNumberFormat="1" applyFont="1" applyFill="1" applyBorder="1" applyAlignment="1">
      <alignment horizontal="center" vertical="center"/>
    </xf>
    <xf numFmtId="39" fontId="18" fillId="35" borderId="46" xfId="0" applyNumberFormat="1" applyFont="1" applyFill="1" applyBorder="1" applyAlignment="1">
      <alignment horizontal="center" vertical="center"/>
    </xf>
    <xf numFmtId="43" fontId="14" fillId="0" borderId="0" xfId="46" applyFont="1" applyFill="1" applyBorder="1" applyAlignment="1">
      <alignment horizontal="center" vertical="center"/>
    </xf>
    <xf numFmtId="172" fontId="14" fillId="0" borderId="0" xfId="52" applyNumberFormat="1" applyFont="1" applyFill="1" applyBorder="1" applyAlignment="1">
      <alignment horizontal="left" vertical="center"/>
    </xf>
    <xf numFmtId="201" fontId="14" fillId="0" borderId="0" xfId="52" applyNumberFormat="1" applyFont="1" applyFill="1" applyBorder="1" applyAlignment="1">
      <alignment horizontal="left" vertical="center"/>
    </xf>
    <xf numFmtId="43" fontId="14" fillId="0" borderId="0" xfId="0" applyNumberFormat="1" applyFont="1" applyFill="1" applyBorder="1" applyAlignment="1">
      <alignment horizontal="left" vertical="center"/>
    </xf>
    <xf numFmtId="37" fontId="155" fillId="30" borderId="53" xfId="0" applyNumberFormat="1" applyFont="1" applyFill="1" applyBorder="1" applyAlignment="1">
      <alignment horizontal="center" vertical="center"/>
    </xf>
    <xf numFmtId="178" fontId="14" fillId="7" borderId="0" xfId="0" applyNumberFormat="1" applyFont="1" applyFill="1" applyBorder="1" applyAlignment="1">
      <alignment horizontal="center" vertical="center"/>
    </xf>
    <xf numFmtId="172" fontId="12" fillId="7" borderId="42" xfId="52" applyNumberFormat="1" applyFont="1" applyFill="1" applyBorder="1" applyAlignment="1">
      <alignment horizontal="center" vertical="center"/>
    </xf>
    <xf numFmtId="178" fontId="14" fillId="4" borderId="23" xfId="46" applyNumberFormat="1" applyFont="1" applyFill="1" applyBorder="1" applyAlignment="1">
      <alignment horizontal="center" vertical="center"/>
    </xf>
    <xf numFmtId="178" fontId="145" fillId="4" borderId="0" xfId="46" applyNumberFormat="1" applyFont="1" applyFill="1" applyBorder="1" applyAlignment="1">
      <alignment horizontal="center" vertical="center"/>
    </xf>
    <xf numFmtId="178" fontId="14" fillId="4" borderId="23" xfId="46" applyNumberFormat="1" applyFont="1" applyFill="1" applyBorder="1" applyAlignment="1">
      <alignment vertical="center"/>
    </xf>
    <xf numFmtId="178" fontId="15" fillId="4" borderId="23" xfId="46" applyNumberFormat="1" applyFont="1" applyFill="1" applyBorder="1" applyAlignment="1">
      <alignment horizontal="center" vertical="center"/>
    </xf>
    <xf numFmtId="178" fontId="145" fillId="4" borderId="23" xfId="46" applyNumberFormat="1" applyFont="1" applyFill="1" applyBorder="1" applyAlignment="1">
      <alignment horizontal="center" vertical="center"/>
    </xf>
    <xf numFmtId="178" fontId="15" fillId="4" borderId="23" xfId="46" applyNumberFormat="1" applyFont="1" applyFill="1" applyBorder="1" applyAlignment="1">
      <alignment vertical="center"/>
    </xf>
    <xf numFmtId="178" fontId="14" fillId="4" borderId="24" xfId="46" applyNumberFormat="1" applyFont="1" applyFill="1" applyBorder="1" applyAlignment="1">
      <alignment vertical="center"/>
    </xf>
    <xf numFmtId="178" fontId="14" fillId="41" borderId="21" xfId="46" applyNumberFormat="1" applyFont="1" applyFill="1" applyBorder="1" applyAlignment="1">
      <alignment horizontal="center" vertical="center"/>
    </xf>
    <xf numFmtId="178" fontId="15" fillId="41" borderId="22" xfId="46" applyNumberFormat="1" applyFont="1" applyFill="1" applyBorder="1" applyAlignment="1">
      <alignment vertical="center"/>
    </xf>
    <xf numFmtId="178" fontId="14" fillId="41" borderId="14" xfId="46" applyNumberFormat="1" applyFont="1" applyFill="1" applyBorder="1" applyAlignment="1">
      <alignment horizontal="center" vertical="center"/>
    </xf>
    <xf numFmtId="0" fontId="12" fillId="41" borderId="62" xfId="0" applyNumberFormat="1" applyFont="1" applyFill="1" applyBorder="1" applyAlignment="1">
      <alignment horizontal="left" vertical="center"/>
    </xf>
    <xf numFmtId="0" fontId="7" fillId="41" borderId="63" xfId="46" applyNumberFormat="1" applyFont="1" applyFill="1" applyBorder="1" applyAlignment="1">
      <alignment horizontal="center" vertical="center"/>
    </xf>
    <xf numFmtId="168" fontId="14" fillId="41" borderId="63" xfId="46" applyNumberFormat="1" applyFont="1" applyFill="1" applyBorder="1" applyAlignment="1">
      <alignment horizontal="center" vertical="center"/>
    </xf>
    <xf numFmtId="168" fontId="145" fillId="41" borderId="63" xfId="46" applyNumberFormat="1" applyFont="1" applyFill="1" applyBorder="1" applyAlignment="1">
      <alignment horizontal="center" vertical="center"/>
    </xf>
    <xf numFmtId="168" fontId="14" fillId="41" borderId="64" xfId="46" applyNumberFormat="1" applyFont="1" applyFill="1" applyBorder="1" applyAlignment="1">
      <alignment horizontal="center" vertical="center"/>
    </xf>
    <xf numFmtId="0" fontId="0" fillId="41" borderId="65" xfId="0" applyNumberFormat="1" applyFont="1" applyFill="1" applyBorder="1" applyAlignment="1">
      <alignment horizontal="left" vertical="center"/>
    </xf>
    <xf numFmtId="178" fontId="14" fillId="41" borderId="66" xfId="46" applyNumberFormat="1" applyFont="1" applyFill="1" applyBorder="1" applyAlignment="1">
      <alignment horizontal="center" vertical="center"/>
    </xf>
    <xf numFmtId="0" fontId="0" fillId="41" borderId="67" xfId="0" applyNumberFormat="1" applyFont="1" applyFill="1" applyBorder="1" applyAlignment="1">
      <alignment horizontal="left" vertical="center"/>
    </xf>
    <xf numFmtId="0" fontId="4" fillId="41" borderId="67" xfId="0" applyNumberFormat="1" applyFont="1" applyFill="1" applyBorder="1" applyAlignment="1">
      <alignment horizontal="left" vertical="center"/>
    </xf>
    <xf numFmtId="0" fontId="26" fillId="41" borderId="68" xfId="0" applyNumberFormat="1" applyFont="1" applyFill="1" applyBorder="1" applyAlignment="1">
      <alignment horizontal="left" vertical="center"/>
    </xf>
    <xf numFmtId="178" fontId="14" fillId="41" borderId="69" xfId="46" applyNumberFormat="1" applyFont="1" applyFill="1" applyBorder="1" applyAlignment="1">
      <alignment vertical="center"/>
    </xf>
    <xf numFmtId="178" fontId="14" fillId="41" borderId="70" xfId="46" applyNumberFormat="1" applyFont="1" applyFill="1" applyBorder="1" applyAlignment="1">
      <alignment horizontal="center" vertical="center"/>
    </xf>
    <xf numFmtId="178" fontId="145" fillId="41" borderId="69" xfId="46" applyNumberFormat="1" applyFont="1" applyFill="1" applyBorder="1" applyAlignment="1">
      <alignment horizontal="center" vertical="center"/>
    </xf>
    <xf numFmtId="178" fontId="14" fillId="41" borderId="69" xfId="46" applyNumberFormat="1" applyFont="1" applyFill="1" applyBorder="1" applyAlignment="1">
      <alignment horizontal="center" vertical="center"/>
    </xf>
    <xf numFmtId="178" fontId="14" fillId="41" borderId="71" xfId="46" applyNumberFormat="1" applyFont="1" applyFill="1" applyBorder="1" applyAlignment="1">
      <alignment horizontal="center" vertical="center"/>
    </xf>
    <xf numFmtId="178" fontId="15" fillId="4" borderId="22" xfId="46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3" xfId="0" applyFont="1" applyFill="1" applyBorder="1" applyAlignment="1" quotePrefix="1">
      <alignment vertical="center"/>
    </xf>
    <xf numFmtId="0" fontId="23" fillId="35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 wrapText="1"/>
    </xf>
    <xf numFmtId="43" fontId="2" fillId="0" borderId="0" xfId="46" applyFont="1" applyBorder="1" applyAlignment="1">
      <alignment vertical="center" wrapText="1"/>
    </xf>
    <xf numFmtId="168" fontId="2" fillId="0" borderId="0" xfId="0" applyNumberFormat="1" applyFont="1" applyAlignment="1">
      <alignment vertical="center" wrapText="1"/>
    </xf>
    <xf numFmtId="167" fontId="2" fillId="0" borderId="18" xfId="0" applyNumberFormat="1" applyFont="1" applyFill="1" applyBorder="1" applyAlignment="1">
      <alignment horizontal="center" vertical="center" wrapText="1"/>
    </xf>
    <xf numFmtId="37" fontId="0" fillId="0" borderId="14" xfId="0" applyNumberFormat="1" applyFont="1" applyFill="1" applyBorder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139" fillId="0" borderId="18" xfId="0" applyFont="1" applyFill="1" applyBorder="1" applyAlignment="1">
      <alignment vertical="center"/>
    </xf>
    <xf numFmtId="3" fontId="140" fillId="0" borderId="14" xfId="0" applyNumberFormat="1" applyFont="1" applyFill="1" applyBorder="1" applyAlignment="1">
      <alignment horizontal="center" vertical="center"/>
    </xf>
    <xf numFmtId="169" fontId="0" fillId="0" borderId="17" xfId="46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0" fontId="0" fillId="0" borderId="14" xfId="46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68" fontId="2" fillId="0" borderId="18" xfId="0" applyNumberFormat="1" applyFont="1" applyFill="1" applyBorder="1" applyAlignment="1">
      <alignment horizontal="center" vertical="center"/>
    </xf>
    <xf numFmtId="37" fontId="2" fillId="0" borderId="1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167" fontId="4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  <xf numFmtId="167" fontId="7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 vertical="center" wrapText="1"/>
    </xf>
    <xf numFmtId="167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37" fontId="2" fillId="0" borderId="1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7" fontId="3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left" vertical="center"/>
    </xf>
    <xf numFmtId="167" fontId="7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67" fontId="0" fillId="0" borderId="22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8" fontId="3" fillId="0" borderId="23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9" fontId="0" fillId="0" borderId="14" xfId="46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35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10" fontId="2" fillId="0" borderId="23" xfId="47" applyNumberFormat="1" applyFont="1" applyFill="1" applyBorder="1" applyAlignment="1">
      <alignment horizontal="center" vertical="center"/>
    </xf>
    <xf numFmtId="10" fontId="2" fillId="0" borderId="24" xfId="47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3" fillId="35" borderId="18" xfId="0" applyNumberFormat="1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37" fontId="2" fillId="35" borderId="14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67" fontId="2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7" fontId="3" fillId="35" borderId="14" xfId="0" applyNumberFormat="1" applyFont="1" applyFill="1" applyBorder="1" applyAlignment="1">
      <alignment vertical="center"/>
    </xf>
    <xf numFmtId="168" fontId="7" fillId="35" borderId="18" xfId="0" applyNumberFormat="1" applyFont="1" applyFill="1" applyBorder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167" fontId="2" fillId="35" borderId="1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0" fillId="35" borderId="18" xfId="0" applyNumberFormat="1" applyFont="1" applyFill="1" applyBorder="1" applyAlignment="1">
      <alignment vertical="center"/>
    </xf>
    <xf numFmtId="37" fontId="3" fillId="35" borderId="18" xfId="0" applyNumberFormat="1" applyFont="1" applyFill="1" applyBorder="1" applyAlignment="1">
      <alignment vertical="center"/>
    </xf>
    <xf numFmtId="37" fontId="0" fillId="35" borderId="18" xfId="0" applyNumberFormat="1" applyFont="1" applyFill="1" applyBorder="1" applyAlignment="1">
      <alignment vertical="center"/>
    </xf>
    <xf numFmtId="168" fontId="0" fillId="35" borderId="18" xfId="0" applyNumberFormat="1" applyFont="1" applyFill="1" applyBorder="1" applyAlignment="1">
      <alignment vertical="center"/>
    </xf>
    <xf numFmtId="37" fontId="7" fillId="35" borderId="18" xfId="0" applyNumberFormat="1" applyFont="1" applyFill="1" applyBorder="1" applyAlignment="1">
      <alignment vertical="center"/>
    </xf>
    <xf numFmtId="167" fontId="0" fillId="35" borderId="18" xfId="0" applyNumberFormat="1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39" fontId="3" fillId="35" borderId="18" xfId="0" applyNumberFormat="1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168" fontId="2" fillId="0" borderId="18" xfId="0" applyNumberFormat="1" applyFont="1" applyFill="1" applyBorder="1" applyAlignment="1">
      <alignment horizontal="center" vertical="center"/>
    </xf>
    <xf numFmtId="0" fontId="161" fillId="0" borderId="0" xfId="0" applyFont="1" applyFill="1" applyAlignment="1">
      <alignment vertical="center"/>
    </xf>
    <xf numFmtId="0" fontId="139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17" fontId="2" fillId="0" borderId="0" xfId="0" applyNumberFormat="1" applyFont="1" applyAlignment="1" quotePrefix="1">
      <alignment horizontal="left" vertical="center"/>
    </xf>
    <xf numFmtId="183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3" xfId="0" applyFont="1" applyBorder="1" applyAlignment="1" quotePrefix="1">
      <alignment horizontal="right" vertical="center" wrapText="1"/>
    </xf>
    <xf numFmtId="0" fontId="2" fillId="0" borderId="0" xfId="0" applyFont="1" applyBorder="1" applyAlignment="1" quotePrefix="1">
      <alignment horizontal="right" vertical="center" wrapText="1"/>
    </xf>
    <xf numFmtId="0" fontId="2" fillId="0" borderId="14" xfId="0" applyFont="1" applyBorder="1" applyAlignment="1" quotePrefix="1">
      <alignment horizontal="right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23" xfId="0" applyFont="1" applyBorder="1" applyAlignment="1" quotePrefix="1">
      <alignment horizontal="center" vertical="center"/>
    </xf>
    <xf numFmtId="0" fontId="0" fillId="0" borderId="21" xfId="0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" fillId="0" borderId="0" xfId="0" applyFont="1" applyFill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33" borderId="2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4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23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23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62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2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43" fontId="1" fillId="0" borderId="0" xfId="48" applyFont="1" applyAlignment="1">
      <alignment/>
    </xf>
    <xf numFmtId="9" fontId="1" fillId="0" borderId="0" xfId="53" applyFont="1" applyAlignment="1">
      <alignment/>
    </xf>
    <xf numFmtId="0" fontId="49" fillId="0" borderId="0" xfId="0" applyFont="1" applyAlignment="1">
      <alignment/>
    </xf>
    <xf numFmtId="43" fontId="49" fillId="0" borderId="0" xfId="48" applyFont="1" applyAlignment="1">
      <alignment/>
    </xf>
    <xf numFmtId="43" fontId="1" fillId="0" borderId="0" xfId="48" applyNumberFormat="1" applyFont="1" applyAlignment="1">
      <alignment/>
    </xf>
    <xf numFmtId="0" fontId="50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8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43" fontId="1" fillId="0" borderId="17" xfId="48" applyFont="1" applyBorder="1" applyAlignment="1">
      <alignment/>
    </xf>
    <xf numFmtId="14" fontId="1" fillId="0" borderId="0" xfId="0" applyNumberFormat="1" applyFont="1" applyAlignment="1">
      <alignment/>
    </xf>
    <xf numFmtId="0" fontId="48" fillId="0" borderId="17" xfId="0" applyFont="1" applyBorder="1" applyAlignment="1">
      <alignment horizontal="left"/>
    </xf>
    <xf numFmtId="43" fontId="48" fillId="0" borderId="17" xfId="48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7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8" fontId="2" fillId="0" borderId="18" xfId="0" applyNumberFormat="1" applyFont="1" applyBorder="1" applyAlignment="1">
      <alignment horizontal="center" vertical="center"/>
    </xf>
    <xf numFmtId="167" fontId="2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quotePrefix="1">
      <alignment horizontal="center"/>
    </xf>
    <xf numFmtId="169" fontId="0" fillId="0" borderId="0" xfId="46" applyNumberFormat="1" applyFont="1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left" vertical="center"/>
    </xf>
    <xf numFmtId="3" fontId="14" fillId="30" borderId="22" xfId="46" applyNumberFormat="1" applyFont="1" applyFill="1" applyBorder="1" applyAlignment="1">
      <alignment horizontal="center" vertical="center"/>
    </xf>
    <xf numFmtId="178" fontId="14" fillId="0" borderId="18" xfId="46" applyNumberFormat="1" applyFont="1" applyFill="1" applyBorder="1" applyAlignment="1">
      <alignment horizontal="center" vertical="center"/>
    </xf>
    <xf numFmtId="37" fontId="12" fillId="43" borderId="0" xfId="0" applyNumberFormat="1" applyFont="1" applyFill="1" applyAlignment="1">
      <alignment vertical="center"/>
    </xf>
    <xf numFmtId="37" fontId="14" fillId="43" borderId="0" xfId="0" applyNumberFormat="1" applyFont="1" applyFill="1" applyAlignment="1">
      <alignment vertical="center"/>
    </xf>
    <xf numFmtId="39" fontId="14" fillId="43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2" fillId="35" borderId="44" xfId="0" applyNumberFormat="1" applyFont="1" applyFill="1" applyBorder="1" applyAlignment="1">
      <alignment horizontal="center" vertical="center" wrapText="1"/>
    </xf>
    <xf numFmtId="0" fontId="20" fillId="43" borderId="0" xfId="0" applyNumberFormat="1" applyFont="1" applyFill="1" applyBorder="1" applyAlignment="1">
      <alignment horizontal="left" vertical="center"/>
    </xf>
    <xf numFmtId="178" fontId="15" fillId="4" borderId="24" xfId="46" applyNumberFormat="1" applyFont="1" applyFill="1" applyBorder="1" applyAlignment="1">
      <alignment vertical="center"/>
    </xf>
    <xf numFmtId="178" fontId="14" fillId="4" borderId="24" xfId="46" applyNumberFormat="1" applyFont="1" applyFill="1" applyBorder="1" applyAlignment="1">
      <alignment horizontal="center" vertical="center"/>
    </xf>
    <xf numFmtId="178" fontId="145" fillId="4" borderId="24" xfId="46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left" vertical="center"/>
    </xf>
    <xf numFmtId="0" fontId="7" fillId="4" borderId="10" xfId="46" applyNumberFormat="1" applyFont="1" applyFill="1" applyBorder="1" applyAlignment="1">
      <alignment horizontal="center" vertical="center"/>
    </xf>
    <xf numFmtId="168" fontId="14" fillId="4" borderId="10" xfId="46" applyNumberFormat="1" applyFont="1" applyFill="1" applyBorder="1" applyAlignment="1">
      <alignment horizontal="center" vertical="center"/>
    </xf>
    <xf numFmtId="168" fontId="145" fillId="4" borderId="10" xfId="46" applyNumberFormat="1" applyFont="1" applyFill="1" applyBorder="1" applyAlignment="1">
      <alignment horizontal="center" vertical="center"/>
    </xf>
    <xf numFmtId="168" fontId="14" fillId="4" borderId="13" xfId="46" applyNumberFormat="1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>
      <alignment horizontal="left" vertical="center"/>
    </xf>
    <xf numFmtId="0" fontId="4" fillId="4" borderId="23" xfId="0" applyNumberFormat="1" applyFont="1" applyFill="1" applyBorder="1" applyAlignment="1">
      <alignment horizontal="left" vertical="center"/>
    </xf>
    <xf numFmtId="0" fontId="4" fillId="4" borderId="18" xfId="0" applyNumberFormat="1" applyFont="1" applyFill="1" applyBorder="1" applyAlignment="1">
      <alignment vertical="center"/>
    </xf>
    <xf numFmtId="0" fontId="4" fillId="4" borderId="22" xfId="0" applyNumberFormat="1" applyFont="1" applyFill="1" applyBorder="1" applyAlignment="1">
      <alignment vertical="center"/>
    </xf>
    <xf numFmtId="0" fontId="23" fillId="0" borderId="53" xfId="0" applyNumberFormat="1" applyFont="1" applyFill="1" applyBorder="1" applyAlignment="1">
      <alignment vertical="center"/>
    </xf>
    <xf numFmtId="39" fontId="14" fillId="0" borderId="44" xfId="0" applyNumberFormat="1" applyFont="1" applyFill="1" applyBorder="1" applyAlignment="1">
      <alignment vertical="center"/>
    </xf>
    <xf numFmtId="39" fontId="12" fillId="0" borderId="44" xfId="0" applyNumberFormat="1" applyFont="1" applyFill="1" applyBorder="1" applyAlignment="1">
      <alignment vertical="center"/>
    </xf>
    <xf numFmtId="39" fontId="150" fillId="0" borderId="44" xfId="0" applyNumberFormat="1" applyFont="1" applyFill="1" applyBorder="1" applyAlignment="1">
      <alignment vertical="center"/>
    </xf>
    <xf numFmtId="37" fontId="14" fillId="30" borderId="34" xfId="0" applyNumberFormat="1" applyFont="1" applyFill="1" applyBorder="1" applyAlignment="1" quotePrefix="1">
      <alignment horizontal="center" vertical="center"/>
    </xf>
    <xf numFmtId="37" fontId="14" fillId="37" borderId="34" xfId="0" applyNumberFormat="1" applyFont="1" applyFill="1" applyBorder="1" applyAlignment="1">
      <alignment horizontal="center" vertical="center"/>
    </xf>
    <xf numFmtId="37" fontId="14" fillId="37" borderId="34" xfId="0" applyNumberFormat="1" applyFont="1" applyFill="1" applyBorder="1" applyAlignment="1">
      <alignment horizontal="center" vertical="center" wrapText="1"/>
    </xf>
    <xf numFmtId="39" fontId="14" fillId="10" borderId="14" xfId="0" applyNumberFormat="1" applyFont="1" applyFill="1" applyBorder="1" applyAlignment="1">
      <alignment vertical="center"/>
    </xf>
    <xf numFmtId="37" fontId="23" fillId="0" borderId="35" xfId="0" applyNumberFormat="1" applyFont="1" applyFill="1" applyBorder="1" applyAlignment="1">
      <alignment vertical="center"/>
    </xf>
    <xf numFmtId="39" fontId="12" fillId="0" borderId="14" xfId="0" applyNumberFormat="1" applyFont="1" applyFill="1" applyBorder="1" applyAlignment="1">
      <alignment vertical="center"/>
    </xf>
    <xf numFmtId="37" fontId="24" fillId="0" borderId="18" xfId="0" applyNumberFormat="1" applyFont="1" applyFill="1" applyBorder="1" applyAlignment="1">
      <alignment horizontal="right" vertical="center"/>
    </xf>
    <xf numFmtId="174" fontId="23" fillId="0" borderId="18" xfId="0" applyNumberFormat="1" applyFont="1" applyFill="1" applyBorder="1" applyAlignment="1">
      <alignment vertical="center"/>
    </xf>
    <xf numFmtId="39" fontId="14" fillId="0" borderId="18" xfId="0" applyNumberFormat="1" applyFont="1" applyFill="1" applyBorder="1" applyAlignment="1">
      <alignment horizontal="center" vertical="center"/>
    </xf>
    <xf numFmtId="37" fontId="14" fillId="0" borderId="34" xfId="0" applyNumberFormat="1" applyFont="1" applyFill="1" applyBorder="1" applyAlignment="1">
      <alignment horizontal="center" vertical="center"/>
    </xf>
    <xf numFmtId="37" fontId="14" fillId="10" borderId="34" xfId="0" applyNumberFormat="1" applyFont="1" applyFill="1" applyBorder="1" applyAlignment="1">
      <alignment horizontal="center" vertical="center" wrapText="1"/>
    </xf>
    <xf numFmtId="0" fontId="20" fillId="35" borderId="0" xfId="0" applyNumberFormat="1" applyFont="1" applyFill="1" applyBorder="1" applyAlignment="1">
      <alignment horizontal="left" vertical="center"/>
    </xf>
    <xf numFmtId="0" fontId="0" fillId="35" borderId="18" xfId="0" applyNumberFormat="1" applyFont="1" applyFill="1" applyBorder="1" applyAlignment="1">
      <alignment vertical="center"/>
    </xf>
    <xf numFmtId="178" fontId="14" fillId="35" borderId="0" xfId="0" applyNumberFormat="1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 horizontal="left" vertical="center"/>
    </xf>
    <xf numFmtId="0" fontId="14" fillId="35" borderId="0" xfId="0" applyNumberFormat="1" applyFont="1" applyFill="1" applyBorder="1" applyAlignment="1">
      <alignment horizontal="left" vertical="center"/>
    </xf>
    <xf numFmtId="0" fontId="7" fillId="4" borderId="13" xfId="46" applyNumberFormat="1" applyFont="1" applyFill="1" applyBorder="1" applyAlignment="1">
      <alignment horizontal="center" vertical="center"/>
    </xf>
    <xf numFmtId="178" fontId="145" fillId="4" borderId="13" xfId="46" applyNumberFormat="1" applyFont="1" applyFill="1" applyBorder="1" applyAlignment="1">
      <alignment horizontal="center" vertical="center"/>
    </xf>
    <xf numFmtId="0" fontId="0" fillId="4" borderId="22" xfId="0" applyNumberFormat="1" applyFont="1" applyFill="1" applyBorder="1" applyAlignment="1">
      <alignment vertical="center"/>
    </xf>
    <xf numFmtId="178" fontId="14" fillId="4" borderId="17" xfId="46" applyNumberFormat="1" applyFont="1" applyFill="1" applyBorder="1" applyAlignment="1">
      <alignment vertical="center"/>
    </xf>
    <xf numFmtId="178" fontId="145" fillId="4" borderId="22" xfId="46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vertical="center"/>
    </xf>
    <xf numFmtId="168" fontId="145" fillId="4" borderId="13" xfId="46" applyNumberFormat="1" applyFont="1" applyFill="1" applyBorder="1" applyAlignment="1">
      <alignment horizontal="center" vertical="center"/>
    </xf>
    <xf numFmtId="168" fontId="14" fillId="4" borderId="22" xfId="46" applyNumberFormat="1" applyFont="1" applyFill="1" applyBorder="1" applyAlignment="1">
      <alignment horizontal="center" vertical="center"/>
    </xf>
    <xf numFmtId="178" fontId="12" fillId="4" borderId="13" xfId="46" applyNumberFormat="1" applyFont="1" applyFill="1" applyBorder="1" applyAlignment="1">
      <alignment horizontal="center" vertical="center"/>
    </xf>
    <xf numFmtId="178" fontId="14" fillId="4" borderId="17" xfId="46" applyNumberFormat="1" applyFont="1" applyFill="1" applyBorder="1" applyAlignment="1">
      <alignment horizontal="center" vertical="center"/>
    </xf>
    <xf numFmtId="37" fontId="12" fillId="4" borderId="13" xfId="0" applyNumberFormat="1" applyFont="1" applyFill="1" applyBorder="1" applyAlignment="1">
      <alignment horizontal="left" vertical="center"/>
    </xf>
    <xf numFmtId="0" fontId="12" fillId="2" borderId="13" xfId="0" applyNumberFormat="1" applyFont="1" applyFill="1" applyBorder="1" applyAlignment="1">
      <alignment horizontal="left" vertical="center"/>
    </xf>
    <xf numFmtId="0" fontId="7" fillId="2" borderId="13" xfId="46" applyNumberFormat="1" applyFont="1" applyFill="1" applyBorder="1" applyAlignment="1">
      <alignment horizontal="center" vertical="center"/>
    </xf>
    <xf numFmtId="0" fontId="140" fillId="2" borderId="13" xfId="46" applyNumberFormat="1" applyFont="1" applyFill="1" applyBorder="1" applyAlignment="1">
      <alignment horizontal="center" vertical="center"/>
    </xf>
    <xf numFmtId="168" fontId="145" fillId="2" borderId="13" xfId="46" applyNumberFormat="1" applyFont="1" applyFill="1" applyBorder="1" applyAlignment="1">
      <alignment horizontal="center" vertical="center"/>
    </xf>
    <xf numFmtId="168" fontId="14" fillId="2" borderId="13" xfId="46" applyNumberFormat="1" applyFont="1" applyFill="1" applyBorder="1" applyAlignment="1">
      <alignment horizontal="center" vertical="center"/>
    </xf>
    <xf numFmtId="0" fontId="26" fillId="2" borderId="22" xfId="0" applyNumberFormat="1" applyFont="1" applyFill="1" applyBorder="1" applyAlignment="1">
      <alignment vertical="center"/>
    </xf>
    <xf numFmtId="178" fontId="145" fillId="2" borderId="22" xfId="46" applyNumberFormat="1" applyFont="1" applyFill="1" applyBorder="1" applyAlignment="1">
      <alignment horizontal="center" vertical="center"/>
    </xf>
    <xf numFmtId="37" fontId="12" fillId="30" borderId="13" xfId="0" applyNumberFormat="1" applyFont="1" applyFill="1" applyBorder="1" applyAlignment="1">
      <alignment horizontal="left" vertical="center"/>
    </xf>
    <xf numFmtId="0" fontId="7" fillId="30" borderId="13" xfId="46" applyNumberFormat="1" applyFont="1" applyFill="1" applyBorder="1" applyAlignment="1">
      <alignment horizontal="center" vertical="center"/>
    </xf>
    <xf numFmtId="168" fontId="14" fillId="30" borderId="13" xfId="46" applyNumberFormat="1" applyFont="1" applyFill="1" applyBorder="1" applyAlignment="1">
      <alignment horizontal="center" vertical="center"/>
    </xf>
    <xf numFmtId="168" fontId="145" fillId="30" borderId="13" xfId="46" applyNumberFormat="1" applyFont="1" applyFill="1" applyBorder="1" applyAlignment="1">
      <alignment horizontal="center" vertical="center"/>
    </xf>
    <xf numFmtId="0" fontId="26" fillId="30" borderId="22" xfId="0" applyNumberFormat="1" applyFont="1" applyFill="1" applyBorder="1" applyAlignment="1">
      <alignment vertical="center"/>
    </xf>
    <xf numFmtId="178" fontId="145" fillId="30" borderId="22" xfId="46" applyNumberFormat="1" applyFont="1" applyFill="1" applyBorder="1" applyAlignment="1">
      <alignment horizontal="center" vertical="center"/>
    </xf>
    <xf numFmtId="0" fontId="23" fillId="30" borderId="13" xfId="0" applyNumberFormat="1" applyFont="1" applyFill="1" applyBorder="1" applyAlignment="1">
      <alignment horizontal="left" vertical="center"/>
    </xf>
    <xf numFmtId="0" fontId="12" fillId="30" borderId="13" xfId="0" applyNumberFormat="1" applyFont="1" applyFill="1" applyBorder="1" applyAlignment="1">
      <alignment horizontal="left" vertical="center"/>
    </xf>
    <xf numFmtId="0" fontId="26" fillId="30" borderId="22" xfId="0" applyNumberFormat="1" applyFont="1" applyFill="1" applyBorder="1" applyAlignment="1">
      <alignment horizontal="left" vertical="center"/>
    </xf>
    <xf numFmtId="178" fontId="14" fillId="30" borderId="13" xfId="46" applyNumberFormat="1" applyFont="1" applyFill="1" applyBorder="1" applyAlignment="1">
      <alignment horizontal="center" vertical="center"/>
    </xf>
    <xf numFmtId="178" fontId="145" fillId="30" borderId="13" xfId="46" applyNumberFormat="1" applyFont="1" applyFill="1" applyBorder="1" applyAlignment="1">
      <alignment horizontal="center" vertical="center"/>
    </xf>
    <xf numFmtId="0" fontId="0" fillId="30" borderId="22" xfId="0" applyNumberFormat="1" applyFont="1" applyFill="1" applyBorder="1" applyAlignment="1">
      <alignment horizontal="left" vertical="center"/>
    </xf>
    <xf numFmtId="0" fontId="147" fillId="30" borderId="13" xfId="0" applyNumberFormat="1" applyFont="1" applyFill="1" applyBorder="1" applyAlignment="1">
      <alignment horizontal="left" vertical="center"/>
    </xf>
    <xf numFmtId="0" fontId="140" fillId="30" borderId="13" xfId="46" applyNumberFormat="1" applyFont="1" applyFill="1" applyBorder="1" applyAlignment="1">
      <alignment horizontal="center" vertical="center"/>
    </xf>
    <xf numFmtId="168" fontId="147" fillId="30" borderId="13" xfId="46" applyNumberFormat="1" applyFont="1" applyFill="1" applyBorder="1" applyAlignment="1">
      <alignment horizontal="center" vertical="center"/>
    </xf>
    <xf numFmtId="168" fontId="12" fillId="30" borderId="13" xfId="46" applyNumberFormat="1" applyFont="1" applyFill="1" applyBorder="1" applyAlignment="1">
      <alignment horizontal="center" vertical="center"/>
    </xf>
    <xf numFmtId="0" fontId="14" fillId="30" borderId="22" xfId="0" applyNumberFormat="1" applyFont="1" applyFill="1" applyBorder="1" applyAlignment="1">
      <alignment horizontal="right" vertical="center"/>
    </xf>
    <xf numFmtId="0" fontId="12" fillId="41" borderId="13" xfId="0" applyNumberFormat="1" applyFont="1" applyFill="1" applyBorder="1" applyAlignment="1">
      <alignment horizontal="left" vertical="center"/>
    </xf>
    <xf numFmtId="0" fontId="7" fillId="41" borderId="13" xfId="46" applyNumberFormat="1" applyFont="1" applyFill="1" applyBorder="1" applyAlignment="1">
      <alignment horizontal="center" vertical="center"/>
    </xf>
    <xf numFmtId="168" fontId="14" fillId="41" borderId="13" xfId="46" applyNumberFormat="1" applyFont="1" applyFill="1" applyBorder="1" applyAlignment="1">
      <alignment horizontal="center" vertical="center"/>
    </xf>
    <xf numFmtId="168" fontId="145" fillId="41" borderId="13" xfId="46" applyNumberFormat="1" applyFont="1" applyFill="1" applyBorder="1" applyAlignment="1">
      <alignment horizontal="center" vertical="center"/>
    </xf>
    <xf numFmtId="0" fontId="26" fillId="41" borderId="22" xfId="0" applyNumberFormat="1" applyFont="1" applyFill="1" applyBorder="1" applyAlignment="1">
      <alignment vertical="center"/>
    </xf>
    <xf numFmtId="178" fontId="145" fillId="41" borderId="22" xfId="46" applyNumberFormat="1" applyFont="1" applyFill="1" applyBorder="1" applyAlignment="1">
      <alignment horizontal="center" vertical="center"/>
    </xf>
    <xf numFmtId="14" fontId="12" fillId="35" borderId="44" xfId="0" applyNumberFormat="1" applyFont="1" applyFill="1" applyBorder="1" applyAlignment="1">
      <alignment horizontal="center" vertical="center"/>
    </xf>
    <xf numFmtId="39" fontId="32" fillId="35" borderId="0" xfId="0" applyNumberFormat="1" applyFont="1" applyFill="1" applyBorder="1" applyAlignment="1">
      <alignment vertical="center"/>
    </xf>
    <xf numFmtId="0" fontId="32" fillId="35" borderId="0" xfId="0" applyNumberFormat="1" applyFont="1" applyFill="1" applyBorder="1" applyAlignment="1">
      <alignment horizontal="center" vertical="center"/>
    </xf>
    <xf numFmtId="37" fontId="52" fillId="35" borderId="72" xfId="0" applyNumberFormat="1" applyFont="1" applyFill="1" applyBorder="1" applyAlignment="1">
      <alignment vertical="center"/>
    </xf>
    <xf numFmtId="37" fontId="52" fillId="35" borderId="56" xfId="0" applyNumberFormat="1" applyFont="1" applyFill="1" applyBorder="1" applyAlignment="1">
      <alignment vertical="center"/>
    </xf>
    <xf numFmtId="37" fontId="52" fillId="35" borderId="0" xfId="0" applyNumberFormat="1" applyFont="1" applyFill="1" applyBorder="1" applyAlignment="1">
      <alignment vertical="center"/>
    </xf>
    <xf numFmtId="37" fontId="32" fillId="35" borderId="0" xfId="0" applyNumberFormat="1" applyFont="1" applyFill="1" applyBorder="1" applyAlignment="1">
      <alignment vertical="center"/>
    </xf>
    <xf numFmtId="37" fontId="32" fillId="35" borderId="57" xfId="0" applyNumberFormat="1" applyFont="1" applyFill="1" applyBorder="1" applyAlignment="1">
      <alignment vertical="center"/>
    </xf>
    <xf numFmtId="0" fontId="32" fillId="35" borderId="57" xfId="0" applyNumberFormat="1" applyFont="1" applyFill="1" applyBorder="1" applyAlignment="1">
      <alignment horizontal="center" vertical="center"/>
    </xf>
    <xf numFmtId="180" fontId="52" fillId="35" borderId="57" xfId="0" applyNumberFormat="1" applyFont="1" applyFill="1" applyBorder="1" applyAlignment="1">
      <alignment vertical="center"/>
    </xf>
    <xf numFmtId="39" fontId="32" fillId="35" borderId="56" xfId="0" applyNumberFormat="1" applyFont="1" applyFill="1" applyBorder="1" applyAlignment="1">
      <alignment vertical="center"/>
    </xf>
    <xf numFmtId="0" fontId="32" fillId="35" borderId="56" xfId="0" applyNumberFormat="1" applyFont="1" applyFill="1" applyBorder="1" applyAlignment="1">
      <alignment horizontal="center" vertical="center"/>
    </xf>
    <xf numFmtId="37" fontId="32" fillId="35" borderId="56" xfId="0" applyNumberFormat="1" applyFont="1" applyFill="1" applyBorder="1" applyAlignment="1">
      <alignment vertical="center"/>
    </xf>
    <xf numFmtId="37" fontId="52" fillId="34" borderId="0" xfId="0" applyNumberFormat="1" applyFont="1" applyFill="1" applyBorder="1" applyAlignment="1">
      <alignment vertical="center"/>
    </xf>
    <xf numFmtId="37" fontId="32" fillId="34" borderId="0" xfId="0" applyNumberFormat="1" applyFont="1" applyFill="1" applyBorder="1" applyAlignment="1">
      <alignment vertical="center"/>
    </xf>
    <xf numFmtId="39" fontId="53" fillId="44" borderId="73" xfId="0" applyNumberFormat="1" applyFont="1" applyFill="1" applyBorder="1" applyAlignment="1">
      <alignment horizontal="center" vertical="center"/>
    </xf>
    <xf numFmtId="0" fontId="53" fillId="44" borderId="74" xfId="0" applyNumberFormat="1" applyFont="1" applyFill="1" applyBorder="1" applyAlignment="1">
      <alignment horizontal="center" vertical="center"/>
    </xf>
    <xf numFmtId="37" fontId="54" fillId="44" borderId="75" xfId="0" applyNumberFormat="1" applyFont="1" applyFill="1" applyBorder="1" applyAlignment="1">
      <alignment horizontal="center" vertical="center"/>
    </xf>
    <xf numFmtId="39" fontId="53" fillId="44" borderId="76" xfId="0" applyNumberFormat="1" applyFont="1" applyFill="1" applyBorder="1" applyAlignment="1">
      <alignment horizontal="center" vertical="center"/>
    </xf>
    <xf numFmtId="0" fontId="53" fillId="44" borderId="77" xfId="0" applyNumberFormat="1" applyFont="1" applyFill="1" applyBorder="1" applyAlignment="1">
      <alignment horizontal="center" vertical="center"/>
    </xf>
    <xf numFmtId="37" fontId="53" fillId="30" borderId="74" xfId="0" applyNumberFormat="1" applyFont="1" applyFill="1" applyBorder="1" applyAlignment="1">
      <alignment horizontal="center" vertical="center"/>
    </xf>
    <xf numFmtId="37" fontId="53" fillId="30" borderId="75" xfId="0" applyNumberFormat="1" applyFont="1" applyFill="1" applyBorder="1" applyAlignment="1">
      <alignment horizontal="center" vertical="center"/>
    </xf>
    <xf numFmtId="39" fontId="54" fillId="44" borderId="78" xfId="0" applyNumberFormat="1" applyFont="1" applyFill="1" applyBorder="1" applyAlignment="1">
      <alignment horizontal="center" vertical="center"/>
    </xf>
    <xf numFmtId="0" fontId="54" fillId="44" borderId="79" xfId="0" applyNumberFormat="1" applyFont="1" applyFill="1" applyBorder="1" applyAlignment="1" quotePrefix="1">
      <alignment horizontal="center" vertical="center"/>
    </xf>
    <xf numFmtId="39" fontId="54" fillId="44" borderId="80" xfId="0" applyNumberFormat="1" applyFont="1" applyFill="1" applyBorder="1" applyAlignment="1">
      <alignment horizontal="center" vertical="center"/>
    </xf>
    <xf numFmtId="39" fontId="54" fillId="44" borderId="81" xfId="0" applyNumberFormat="1" applyFont="1" applyFill="1" applyBorder="1" applyAlignment="1">
      <alignment horizontal="center" vertical="center"/>
    </xf>
    <xf numFmtId="0" fontId="54" fillId="44" borderId="82" xfId="0" applyNumberFormat="1" applyFont="1" applyFill="1" applyBorder="1" applyAlignment="1" quotePrefix="1">
      <alignment horizontal="center" vertical="center"/>
    </xf>
    <xf numFmtId="37" fontId="53" fillId="44" borderId="79" xfId="0" applyNumberFormat="1" applyFont="1" applyFill="1" applyBorder="1" applyAlignment="1">
      <alignment horizontal="center" vertical="center"/>
    </xf>
    <xf numFmtId="37" fontId="53" fillId="44" borderId="80" xfId="0" applyNumberFormat="1" applyFont="1" applyFill="1" applyBorder="1" applyAlignment="1">
      <alignment horizontal="center" vertical="center"/>
    </xf>
    <xf numFmtId="39" fontId="54" fillId="44" borderId="83" xfId="0" applyNumberFormat="1" applyFont="1" applyFill="1" applyBorder="1" applyAlignment="1">
      <alignment horizontal="center" vertical="center"/>
    </xf>
    <xf numFmtId="0" fontId="54" fillId="44" borderId="84" xfId="0" applyNumberFormat="1" applyFont="1" applyFill="1" applyBorder="1" applyAlignment="1">
      <alignment horizontal="center" vertical="center"/>
    </xf>
    <xf numFmtId="39" fontId="54" fillId="44" borderId="85" xfId="0" applyNumberFormat="1" applyFont="1" applyFill="1" applyBorder="1" applyAlignment="1">
      <alignment horizontal="center" vertical="center"/>
    </xf>
    <xf numFmtId="39" fontId="54" fillId="44" borderId="86" xfId="0" applyNumberFormat="1" applyFont="1" applyFill="1" applyBorder="1" applyAlignment="1">
      <alignment horizontal="center" vertical="center"/>
    </xf>
    <xf numFmtId="0" fontId="54" fillId="44" borderId="87" xfId="0" applyNumberFormat="1" applyFont="1" applyFill="1" applyBorder="1" applyAlignment="1">
      <alignment horizontal="center" vertical="center"/>
    </xf>
    <xf numFmtId="37" fontId="53" fillId="44" borderId="84" xfId="0" applyNumberFormat="1" applyFont="1" applyFill="1" applyBorder="1" applyAlignment="1">
      <alignment horizontal="center" vertical="center"/>
    </xf>
    <xf numFmtId="37" fontId="53" fillId="44" borderId="85" xfId="0" applyNumberFormat="1" applyFont="1" applyFill="1" applyBorder="1" applyAlignment="1">
      <alignment horizontal="center" vertical="center"/>
    </xf>
    <xf numFmtId="39" fontId="53" fillId="36" borderId="78" xfId="0" applyNumberFormat="1" applyFont="1" applyFill="1" applyBorder="1" applyAlignment="1">
      <alignment vertical="center"/>
    </xf>
    <xf numFmtId="0" fontId="32" fillId="35" borderId="79" xfId="0" applyNumberFormat="1" applyFont="1" applyFill="1" applyBorder="1" applyAlignment="1">
      <alignment horizontal="center" vertical="center"/>
    </xf>
    <xf numFmtId="37" fontId="52" fillId="36" borderId="80" xfId="0" applyNumberFormat="1" applyFont="1" applyFill="1" applyBorder="1" applyAlignment="1">
      <alignment vertical="center"/>
    </xf>
    <xf numFmtId="37" fontId="52" fillId="36" borderId="81" xfId="0" applyNumberFormat="1" applyFont="1" applyFill="1" applyBorder="1" applyAlignment="1">
      <alignment vertical="center"/>
    </xf>
    <xf numFmtId="37" fontId="52" fillId="36" borderId="88" xfId="0" applyNumberFormat="1" applyFont="1" applyFill="1" applyBorder="1" applyAlignment="1">
      <alignment vertical="center"/>
    </xf>
    <xf numFmtId="37" fontId="32" fillId="35" borderId="79" xfId="0" applyNumberFormat="1" applyFont="1" applyFill="1" applyBorder="1" applyAlignment="1">
      <alignment vertical="center"/>
    </xf>
    <xf numFmtId="37" fontId="32" fillId="36" borderId="80" xfId="0" applyNumberFormat="1" applyFont="1" applyFill="1" applyBorder="1" applyAlignment="1">
      <alignment vertical="center"/>
    </xf>
    <xf numFmtId="39" fontId="52" fillId="36" borderId="79" xfId="0" applyNumberFormat="1" applyFont="1" applyFill="1" applyBorder="1" applyAlignment="1">
      <alignment vertical="center"/>
    </xf>
    <xf numFmtId="39" fontId="53" fillId="35" borderId="78" xfId="0" applyNumberFormat="1" applyFont="1" applyFill="1" applyBorder="1" applyAlignment="1">
      <alignment vertical="center"/>
    </xf>
    <xf numFmtId="37" fontId="52" fillId="35" borderId="80" xfId="0" applyNumberFormat="1" applyFont="1" applyFill="1" applyBorder="1" applyAlignment="1">
      <alignment vertical="center"/>
    </xf>
    <xf numFmtId="37" fontId="52" fillId="35" borderId="81" xfId="0" applyNumberFormat="1" applyFont="1" applyFill="1" applyBorder="1" applyAlignment="1">
      <alignment vertical="center"/>
    </xf>
    <xf numFmtId="37" fontId="52" fillId="35" borderId="18" xfId="0" applyNumberFormat="1" applyFont="1" applyFill="1" applyBorder="1" applyAlignment="1">
      <alignment vertical="center"/>
    </xf>
    <xf numFmtId="37" fontId="32" fillId="35" borderId="80" xfId="0" applyNumberFormat="1" applyFont="1" applyFill="1" applyBorder="1" applyAlignment="1">
      <alignment vertical="center"/>
    </xf>
    <xf numFmtId="39" fontId="52" fillId="35" borderId="79" xfId="0" applyNumberFormat="1" applyFont="1" applyFill="1" applyBorder="1" applyAlignment="1">
      <alignment vertical="center"/>
    </xf>
    <xf numFmtId="39" fontId="32" fillId="4" borderId="78" xfId="0" applyNumberFormat="1" applyFont="1" applyFill="1" applyBorder="1" applyAlignment="1">
      <alignment vertical="center"/>
    </xf>
    <xf numFmtId="17" fontId="32" fillId="4" borderId="79" xfId="0" applyNumberFormat="1" applyFont="1" applyFill="1" applyBorder="1" applyAlignment="1" quotePrefix="1">
      <alignment horizontal="center" vertical="center"/>
    </xf>
    <xf numFmtId="39" fontId="52" fillId="4" borderId="80" xfId="0" applyNumberFormat="1" applyFont="1" applyFill="1" applyBorder="1" applyAlignment="1">
      <alignment vertical="center"/>
    </xf>
    <xf numFmtId="39" fontId="52" fillId="4" borderId="81" xfId="0" applyNumberFormat="1" applyFont="1" applyFill="1" applyBorder="1" applyAlignment="1">
      <alignment horizontal="right" vertical="center"/>
    </xf>
    <xf numFmtId="208" fontId="52" fillId="4" borderId="18" xfId="0" applyNumberFormat="1" applyFont="1" applyFill="1" applyBorder="1" applyAlignment="1">
      <alignment horizontal="center" vertical="center"/>
    </xf>
    <xf numFmtId="39" fontId="52" fillId="4" borderId="89" xfId="0" applyNumberFormat="1" applyFont="1" applyFill="1" applyBorder="1" applyAlignment="1">
      <alignment horizontal="right" vertical="center"/>
    </xf>
    <xf numFmtId="39" fontId="32" fillId="4" borderId="79" xfId="0" applyNumberFormat="1" applyFont="1" applyFill="1" applyBorder="1" applyAlignment="1">
      <alignment vertical="center"/>
    </xf>
    <xf numFmtId="39" fontId="32" fillId="4" borderId="80" xfId="0" applyNumberFormat="1" applyFont="1" applyFill="1" applyBorder="1" applyAlignment="1">
      <alignment vertical="center"/>
    </xf>
    <xf numFmtId="37" fontId="55" fillId="36" borderId="0" xfId="0" applyNumberFormat="1" applyFont="1" applyFill="1" applyBorder="1" applyAlignment="1">
      <alignment vertical="center"/>
    </xf>
    <xf numFmtId="39" fontId="32" fillId="35" borderId="78" xfId="0" applyNumberFormat="1" applyFont="1" applyFill="1" applyBorder="1" applyAlignment="1">
      <alignment vertical="center"/>
    </xf>
    <xf numFmtId="0" fontId="32" fillId="36" borderId="79" xfId="0" applyNumberFormat="1" applyFont="1" applyFill="1" applyBorder="1" applyAlignment="1">
      <alignment horizontal="center" vertical="center"/>
    </xf>
    <xf numFmtId="37" fontId="52" fillId="36" borderId="81" xfId="0" applyNumberFormat="1" applyFont="1" applyFill="1" applyBorder="1" applyAlignment="1">
      <alignment horizontal="right" vertical="center"/>
    </xf>
    <xf numFmtId="37" fontId="52" fillId="35" borderId="0" xfId="0" applyNumberFormat="1" applyFont="1" applyFill="1" applyBorder="1" applyAlignment="1">
      <alignment horizontal="right" vertical="center"/>
    </xf>
    <xf numFmtId="39" fontId="32" fillId="35" borderId="79" xfId="0" applyNumberFormat="1" applyFont="1" applyFill="1" applyBorder="1" applyAlignment="1">
      <alignment vertical="center"/>
    </xf>
    <xf numFmtId="39" fontId="32" fillId="35" borderId="80" xfId="0" applyNumberFormat="1" applyFont="1" applyFill="1" applyBorder="1" applyAlignment="1">
      <alignment vertical="center"/>
    </xf>
    <xf numFmtId="39" fontId="32" fillId="4" borderId="0" xfId="0" applyNumberFormat="1" applyFont="1" applyFill="1" applyBorder="1" applyAlignment="1">
      <alignment horizontal="center" vertical="center" wrapText="1"/>
    </xf>
    <xf numFmtId="0" fontId="32" fillId="4" borderId="79" xfId="0" applyNumberFormat="1" applyFont="1" applyFill="1" applyBorder="1" applyAlignment="1">
      <alignment horizontal="center" vertical="center"/>
    </xf>
    <xf numFmtId="208" fontId="52" fillId="4" borderId="23" xfId="0" applyNumberFormat="1" applyFont="1" applyFill="1" applyBorder="1" applyAlignment="1">
      <alignment horizontal="center" vertical="center"/>
    </xf>
    <xf numFmtId="0" fontId="32" fillId="36" borderId="79" xfId="0" applyNumberFormat="1" applyFont="1" applyFill="1" applyBorder="1" applyAlignment="1" quotePrefix="1">
      <alignment horizontal="center" vertical="center"/>
    </xf>
    <xf numFmtId="0" fontId="32" fillId="4" borderId="79" xfId="0" applyNumberFormat="1" applyFont="1" applyFill="1" applyBorder="1" applyAlignment="1" quotePrefix="1">
      <alignment horizontal="center" vertical="center"/>
    </xf>
    <xf numFmtId="39" fontId="52" fillId="4" borderId="0" xfId="0" applyNumberFormat="1" applyFont="1" applyFill="1" applyBorder="1" applyAlignment="1">
      <alignment horizontal="right" vertical="center"/>
    </xf>
    <xf numFmtId="39" fontId="163" fillId="4" borderId="0" xfId="0" applyNumberFormat="1" applyFont="1" applyFill="1" applyBorder="1" applyAlignment="1">
      <alignment horizontal="center" vertical="center" wrapText="1"/>
    </xf>
    <xf numFmtId="0" fontId="32" fillId="35" borderId="79" xfId="0" applyNumberFormat="1" applyFont="1" applyFill="1" applyBorder="1" applyAlignment="1" quotePrefix="1">
      <alignment horizontal="center" vertical="center"/>
    </xf>
    <xf numFmtId="17" fontId="32" fillId="4" borderId="79" xfId="0" applyNumberFormat="1" applyFont="1" applyFill="1" applyBorder="1" applyAlignment="1">
      <alignment horizontal="center" vertical="center"/>
    </xf>
    <xf numFmtId="39" fontId="164" fillId="36" borderId="83" xfId="0" applyNumberFormat="1" applyFont="1" applyFill="1" applyBorder="1" applyAlignment="1">
      <alignment vertical="center"/>
    </xf>
    <xf numFmtId="0" fontId="165" fillId="36" borderId="84" xfId="0" applyNumberFormat="1" applyFont="1" applyFill="1" applyBorder="1" applyAlignment="1" quotePrefix="1">
      <alignment horizontal="center" vertical="center"/>
    </xf>
    <xf numFmtId="37" fontId="166" fillId="36" borderId="86" xfId="0" applyNumberFormat="1" applyFont="1" applyFill="1" applyBorder="1" applyAlignment="1">
      <alignment horizontal="right" vertical="center"/>
    </xf>
    <xf numFmtId="37" fontId="166" fillId="36" borderId="90" xfId="0" applyNumberFormat="1" applyFont="1" applyFill="1" applyBorder="1" applyAlignment="1">
      <alignment vertical="center"/>
    </xf>
    <xf numFmtId="37" fontId="166" fillId="36" borderId="85" xfId="0" applyNumberFormat="1" applyFont="1" applyFill="1" applyBorder="1" applyAlignment="1">
      <alignment horizontal="right" vertical="center"/>
    </xf>
    <xf numFmtId="39" fontId="164" fillId="36" borderId="84" xfId="0" applyNumberFormat="1" applyFont="1" applyFill="1" applyBorder="1" applyAlignment="1">
      <alignment vertical="center"/>
    </xf>
    <xf numFmtId="37" fontId="52" fillId="35" borderId="81" xfId="0" applyNumberFormat="1" applyFont="1" applyFill="1" applyBorder="1" applyAlignment="1">
      <alignment horizontal="right" vertical="center"/>
    </xf>
    <xf numFmtId="174" fontId="32" fillId="35" borderId="79" xfId="0" applyNumberFormat="1" applyFont="1" applyFill="1" applyBorder="1" applyAlignment="1">
      <alignment vertical="center"/>
    </xf>
    <xf numFmtId="39" fontId="32" fillId="4" borderId="0" xfId="0" applyNumberFormat="1" applyFont="1" applyFill="1" applyBorder="1" applyAlignment="1" quotePrefix="1">
      <alignment horizontal="center" vertical="center" wrapText="1"/>
    </xf>
    <xf numFmtId="37" fontId="32" fillId="4" borderId="59" xfId="0" applyNumberFormat="1" applyFont="1" applyFill="1" applyBorder="1" applyAlignment="1">
      <alignment horizontal="right" vertical="center"/>
    </xf>
    <xf numFmtId="174" fontId="32" fillId="0" borderId="59" xfId="0" applyNumberFormat="1" applyFont="1" applyFill="1" applyBorder="1" applyAlignment="1">
      <alignment horizontal="right" vertical="center"/>
    </xf>
    <xf numFmtId="37" fontId="165" fillId="36" borderId="91" xfId="0" applyNumberFormat="1" applyFont="1" applyFill="1" applyBorder="1" applyAlignment="1">
      <alignment vertical="center"/>
    </xf>
    <xf numFmtId="39" fontId="165" fillId="35" borderId="83" xfId="0" applyNumberFormat="1" applyFont="1" applyFill="1" applyBorder="1" applyAlignment="1">
      <alignment vertical="center"/>
    </xf>
    <xf numFmtId="0" fontId="165" fillId="36" borderId="84" xfId="0" applyNumberFormat="1" applyFont="1" applyFill="1" applyBorder="1" applyAlignment="1">
      <alignment horizontal="center" vertical="center"/>
    </xf>
    <xf numFmtId="37" fontId="167" fillId="36" borderId="86" xfId="0" applyNumberFormat="1" applyFont="1" applyFill="1" applyBorder="1" applyAlignment="1">
      <alignment horizontal="right" vertical="center"/>
    </xf>
    <xf numFmtId="37" fontId="167" fillId="36" borderId="90" xfId="0" applyNumberFormat="1" applyFont="1" applyFill="1" applyBorder="1" applyAlignment="1">
      <alignment vertical="center"/>
    </xf>
    <xf numFmtId="37" fontId="167" fillId="36" borderId="91" xfId="0" applyNumberFormat="1" applyFont="1" applyFill="1" applyBorder="1" applyAlignment="1">
      <alignment horizontal="right" vertical="center"/>
    </xf>
    <xf numFmtId="0" fontId="32" fillId="0" borderId="79" xfId="0" applyNumberFormat="1" applyFont="1" applyFill="1" applyBorder="1" applyAlignment="1">
      <alignment horizontal="center" vertical="center"/>
    </xf>
    <xf numFmtId="37" fontId="54" fillId="36" borderId="80" xfId="0" applyNumberFormat="1" applyFont="1" applyFill="1" applyBorder="1" applyAlignment="1">
      <alignment vertical="center"/>
    </xf>
    <xf numFmtId="37" fontId="54" fillId="36" borderId="81" xfId="0" applyNumberFormat="1" applyFont="1" applyFill="1" applyBorder="1" applyAlignment="1">
      <alignment horizontal="right" vertical="center"/>
    </xf>
    <xf numFmtId="37" fontId="54" fillId="36" borderId="18" xfId="0" applyNumberFormat="1" applyFont="1" applyFill="1" applyBorder="1" applyAlignment="1">
      <alignment vertical="center"/>
    </xf>
    <xf numFmtId="37" fontId="54" fillId="36" borderId="0" xfId="0" applyNumberFormat="1" applyFont="1" applyFill="1" applyBorder="1" applyAlignment="1">
      <alignment horizontal="right" vertical="center"/>
    </xf>
    <xf numFmtId="39" fontId="32" fillId="36" borderId="79" xfId="0" applyNumberFormat="1" applyFont="1" applyFill="1" applyBorder="1" applyAlignment="1">
      <alignment vertical="center"/>
    </xf>
    <xf numFmtId="39" fontId="32" fillId="36" borderId="80" xfId="0" applyNumberFormat="1" applyFont="1" applyFill="1" applyBorder="1" applyAlignment="1">
      <alignment vertical="center"/>
    </xf>
    <xf numFmtId="39" fontId="32" fillId="4" borderId="78" xfId="0" applyNumberFormat="1" applyFont="1" applyFill="1" applyBorder="1" applyAlignment="1" quotePrefix="1">
      <alignment horizontal="center" vertical="center"/>
    </xf>
    <xf numFmtId="39" fontId="52" fillId="4" borderId="80" xfId="0" applyNumberFormat="1" applyFont="1" applyFill="1" applyBorder="1" applyAlignment="1" quotePrefix="1">
      <alignment horizontal="center" vertical="center"/>
    </xf>
    <xf numFmtId="39" fontId="52" fillId="4" borderId="81" xfId="0" applyNumberFormat="1" applyFont="1" applyFill="1" applyBorder="1" applyAlignment="1" quotePrefix="1">
      <alignment horizontal="right" vertical="center"/>
    </xf>
    <xf numFmtId="39" fontId="52" fillId="4" borderId="18" xfId="0" applyNumberFormat="1" applyFont="1" applyFill="1" applyBorder="1" applyAlignment="1" quotePrefix="1">
      <alignment horizontal="center" vertical="center"/>
    </xf>
    <xf numFmtId="39" fontId="52" fillId="4" borderId="0" xfId="0" applyNumberFormat="1" applyFont="1" applyFill="1" applyBorder="1" applyAlignment="1" quotePrefix="1">
      <alignment horizontal="right" vertical="center"/>
    </xf>
    <xf numFmtId="39" fontId="168" fillId="10" borderId="80" xfId="0" applyNumberFormat="1" applyFont="1" applyFill="1" applyBorder="1" applyAlignment="1">
      <alignment vertical="center"/>
    </xf>
    <xf numFmtId="0" fontId="169" fillId="35" borderId="79" xfId="0" applyNumberFormat="1" applyFont="1" applyFill="1" applyBorder="1" applyAlignment="1">
      <alignment vertical="center"/>
    </xf>
    <xf numFmtId="37" fontId="54" fillId="35" borderId="80" xfId="0" applyNumberFormat="1" applyFont="1" applyFill="1" applyBorder="1" applyAlignment="1">
      <alignment vertical="center"/>
    </xf>
    <xf numFmtId="37" fontId="54" fillId="35" borderId="81" xfId="0" applyNumberFormat="1" applyFont="1" applyFill="1" applyBorder="1" applyAlignment="1">
      <alignment vertical="center"/>
    </xf>
    <xf numFmtId="37" fontId="54" fillId="35" borderId="18" xfId="0" applyNumberFormat="1" applyFont="1" applyFill="1" applyBorder="1" applyAlignment="1">
      <alignment vertical="center"/>
    </xf>
    <xf numFmtId="37" fontId="54" fillId="35" borderId="0" xfId="0" applyNumberFormat="1" applyFont="1" applyFill="1" applyBorder="1" applyAlignment="1">
      <alignment vertical="center"/>
    </xf>
    <xf numFmtId="39" fontId="32" fillId="7" borderId="78" xfId="0" applyNumberFormat="1" applyFont="1" applyFill="1" applyBorder="1" applyAlignment="1">
      <alignment horizontal="center" vertical="center"/>
    </xf>
    <xf numFmtId="0" fontId="32" fillId="7" borderId="79" xfId="0" applyNumberFormat="1" applyFont="1" applyFill="1" applyBorder="1" applyAlignment="1">
      <alignment horizontal="center" vertical="center"/>
    </xf>
    <xf numFmtId="39" fontId="52" fillId="7" borderId="81" xfId="0" applyNumberFormat="1" applyFont="1" applyFill="1" applyBorder="1" applyAlignment="1">
      <alignment horizontal="center" vertical="center"/>
    </xf>
    <xf numFmtId="208" fontId="52" fillId="7" borderId="23" xfId="0" applyNumberFormat="1" applyFont="1" applyFill="1" applyBorder="1" applyAlignment="1">
      <alignment horizontal="center" vertical="center"/>
    </xf>
    <xf numFmtId="39" fontId="52" fillId="7" borderId="89" xfId="0" applyNumberFormat="1" applyFont="1" applyFill="1" applyBorder="1" applyAlignment="1">
      <alignment horizontal="center" vertical="center"/>
    </xf>
    <xf numFmtId="39" fontId="32" fillId="7" borderId="79" xfId="0" applyNumberFormat="1" applyFont="1" applyFill="1" applyBorder="1" applyAlignment="1">
      <alignment vertical="center"/>
    </xf>
    <xf numFmtId="39" fontId="32" fillId="7" borderId="80" xfId="0" applyNumberFormat="1" applyFont="1" applyFill="1" applyBorder="1" applyAlignment="1">
      <alignment vertical="center"/>
    </xf>
    <xf numFmtId="0" fontId="165" fillId="0" borderId="84" xfId="0" applyNumberFormat="1" applyFont="1" applyFill="1" applyBorder="1" applyAlignment="1">
      <alignment horizontal="center" vertical="center"/>
    </xf>
    <xf numFmtId="37" fontId="166" fillId="36" borderId="85" xfId="0" applyNumberFormat="1" applyFont="1" applyFill="1" applyBorder="1" applyAlignment="1">
      <alignment vertical="center"/>
    </xf>
    <xf numFmtId="37" fontId="166" fillId="36" borderId="86" xfId="0" applyNumberFormat="1" applyFont="1" applyFill="1" applyBorder="1" applyAlignment="1">
      <alignment vertical="center"/>
    </xf>
    <xf numFmtId="37" fontId="166" fillId="36" borderId="91" xfId="0" applyNumberFormat="1" applyFont="1" applyFill="1" applyBorder="1" applyAlignment="1">
      <alignment vertical="center"/>
    </xf>
    <xf numFmtId="39" fontId="164" fillId="36" borderId="85" xfId="0" applyNumberFormat="1" applyFont="1" applyFill="1" applyBorder="1" applyAlignment="1">
      <alignment vertical="center"/>
    </xf>
    <xf numFmtId="39" fontId="168" fillId="13" borderId="79" xfId="0" applyNumberFormat="1" applyFont="1" applyFill="1" applyBorder="1" applyAlignment="1">
      <alignment vertical="center"/>
    </xf>
    <xf numFmtId="39" fontId="168" fillId="13" borderId="80" xfId="0" applyNumberFormat="1" applyFont="1" applyFill="1" applyBorder="1" applyAlignment="1">
      <alignment vertical="center"/>
    </xf>
    <xf numFmtId="37" fontId="57" fillId="35" borderId="0" xfId="0" applyNumberFormat="1" applyFont="1" applyFill="1" applyBorder="1" applyAlignment="1">
      <alignment vertical="center"/>
    </xf>
    <xf numFmtId="39" fontId="32" fillId="36" borderId="78" xfId="0" applyNumberFormat="1" applyFont="1" applyFill="1" applyBorder="1" applyAlignment="1">
      <alignment vertical="center"/>
    </xf>
    <xf numFmtId="37" fontId="32" fillId="36" borderId="79" xfId="0" applyNumberFormat="1" applyFont="1" applyFill="1" applyBorder="1" applyAlignment="1">
      <alignment vertical="center"/>
    </xf>
    <xf numFmtId="39" fontId="32" fillId="30" borderId="78" xfId="0" applyNumberFormat="1" applyFont="1" applyFill="1" applyBorder="1" applyAlignment="1">
      <alignment vertical="center"/>
    </xf>
    <xf numFmtId="0" fontId="32" fillId="30" borderId="79" xfId="0" applyNumberFormat="1" applyFont="1" applyFill="1" applyBorder="1" applyAlignment="1">
      <alignment horizontal="center" vertical="center"/>
    </xf>
    <xf numFmtId="39" fontId="52" fillId="30" borderId="80" xfId="0" applyNumberFormat="1" applyFont="1" applyFill="1" applyBorder="1" applyAlignment="1">
      <alignment vertical="center"/>
    </xf>
    <xf numFmtId="39" fontId="52" fillId="30" borderId="81" xfId="0" applyNumberFormat="1" applyFont="1" applyFill="1" applyBorder="1" applyAlignment="1">
      <alignment vertical="center"/>
    </xf>
    <xf numFmtId="208" fontId="52" fillId="30" borderId="18" xfId="0" applyNumberFormat="1" applyFont="1" applyFill="1" applyBorder="1" applyAlignment="1">
      <alignment horizontal="center" vertical="center"/>
    </xf>
    <xf numFmtId="39" fontId="52" fillId="30" borderId="0" xfId="0" applyNumberFormat="1" applyFont="1" applyFill="1" applyBorder="1" applyAlignment="1">
      <alignment vertical="center"/>
    </xf>
    <xf numFmtId="39" fontId="32" fillId="30" borderId="79" xfId="0" applyNumberFormat="1" applyFont="1" applyFill="1" applyBorder="1" applyAlignment="1">
      <alignment vertical="center"/>
    </xf>
    <xf numFmtId="39" fontId="32" fillId="30" borderId="80" xfId="0" applyNumberFormat="1" applyFont="1" applyFill="1" applyBorder="1" applyAlignment="1">
      <alignment vertical="center"/>
    </xf>
    <xf numFmtId="39" fontId="164" fillId="35" borderId="83" xfId="0" applyNumberFormat="1" applyFont="1" applyFill="1" applyBorder="1" applyAlignment="1">
      <alignment vertical="center"/>
    </xf>
    <xf numFmtId="0" fontId="164" fillId="35" borderId="84" xfId="0" applyNumberFormat="1" applyFont="1" applyFill="1" applyBorder="1" applyAlignment="1">
      <alignment horizontal="center" vertical="center"/>
    </xf>
    <xf numFmtId="37" fontId="166" fillId="35" borderId="85" xfId="0" applyNumberFormat="1" applyFont="1" applyFill="1" applyBorder="1" applyAlignment="1">
      <alignment vertical="center"/>
    </xf>
    <xf numFmtId="37" fontId="166" fillId="35" borderId="86" xfId="0" applyNumberFormat="1" applyFont="1" applyFill="1" applyBorder="1" applyAlignment="1">
      <alignment vertical="center"/>
    </xf>
    <xf numFmtId="37" fontId="166" fillId="35" borderId="90" xfId="0" applyNumberFormat="1" applyFont="1" applyFill="1" applyBorder="1" applyAlignment="1">
      <alignment vertical="center"/>
    </xf>
    <xf numFmtId="37" fontId="166" fillId="35" borderId="91" xfId="0" applyNumberFormat="1" applyFont="1" applyFill="1" applyBorder="1" applyAlignment="1">
      <alignment vertical="center"/>
    </xf>
    <xf numFmtId="39" fontId="164" fillId="35" borderId="84" xfId="0" applyNumberFormat="1" applyFont="1" applyFill="1" applyBorder="1" applyAlignment="1">
      <alignment vertical="center"/>
    </xf>
    <xf numFmtId="39" fontId="164" fillId="35" borderId="85" xfId="0" applyNumberFormat="1" applyFont="1" applyFill="1" applyBorder="1" applyAlignment="1">
      <alignment vertical="center"/>
    </xf>
    <xf numFmtId="0" fontId="32" fillId="30" borderId="79" xfId="0" applyNumberFormat="1" applyFont="1" applyFill="1" applyBorder="1" applyAlignment="1" quotePrefix="1">
      <alignment horizontal="center" vertical="center"/>
    </xf>
    <xf numFmtId="39" fontId="52" fillId="30" borderId="18" xfId="0" applyNumberFormat="1" applyFont="1" applyFill="1" applyBorder="1" applyAlignment="1">
      <alignment vertical="center"/>
    </xf>
    <xf numFmtId="17" fontId="32" fillId="30" borderId="79" xfId="0" applyNumberFormat="1" applyFont="1" applyFill="1" applyBorder="1" applyAlignment="1" quotePrefix="1">
      <alignment horizontal="center" vertical="center"/>
    </xf>
    <xf numFmtId="37" fontId="55" fillId="35" borderId="0" xfId="0" applyNumberFormat="1" applyFont="1" applyFill="1" applyBorder="1" applyAlignment="1">
      <alignment vertical="center"/>
    </xf>
    <xf numFmtId="39" fontId="163" fillId="35" borderId="78" xfId="0" applyNumberFormat="1" applyFont="1" applyFill="1" applyBorder="1" applyAlignment="1">
      <alignment vertical="center"/>
    </xf>
    <xf numFmtId="0" fontId="163" fillId="35" borderId="79" xfId="0" applyNumberFormat="1" applyFont="1" applyFill="1" applyBorder="1" applyAlignment="1" quotePrefix="1">
      <alignment horizontal="center" vertical="center"/>
    </xf>
    <xf numFmtId="37" fontId="170" fillId="35" borderId="80" xfId="0" applyNumberFormat="1" applyFont="1" applyFill="1" applyBorder="1" applyAlignment="1">
      <alignment vertical="center"/>
    </xf>
    <xf numFmtId="37" fontId="170" fillId="35" borderId="81" xfId="0" applyNumberFormat="1" applyFont="1" applyFill="1" applyBorder="1" applyAlignment="1">
      <alignment vertical="center"/>
    </xf>
    <xf numFmtId="37" fontId="170" fillId="35" borderId="18" xfId="0" applyNumberFormat="1" applyFont="1" applyFill="1" applyBorder="1" applyAlignment="1">
      <alignment vertical="center"/>
    </xf>
    <xf numFmtId="37" fontId="170" fillId="35" borderId="0" xfId="0" applyNumberFormat="1" applyFont="1" applyFill="1" applyBorder="1" applyAlignment="1">
      <alignment vertical="center"/>
    </xf>
    <xf numFmtId="39" fontId="52" fillId="30" borderId="81" xfId="0" applyNumberFormat="1" applyFont="1" applyFill="1" applyBorder="1" applyAlignment="1">
      <alignment horizontal="right" vertical="center"/>
    </xf>
    <xf numFmtId="0" fontId="164" fillId="36" borderId="84" xfId="0" applyNumberFormat="1" applyFont="1" applyFill="1" applyBorder="1" applyAlignment="1">
      <alignment horizontal="center" vertical="center"/>
    </xf>
    <xf numFmtId="39" fontId="166" fillId="36" borderId="84" xfId="0" applyNumberFormat="1" applyFont="1" applyFill="1" applyBorder="1" applyAlignment="1">
      <alignment vertical="center"/>
    </xf>
    <xf numFmtId="39" fontId="166" fillId="36" borderId="85" xfId="0" applyNumberFormat="1" applyFont="1" applyFill="1" applyBorder="1" applyAlignment="1">
      <alignment vertical="center"/>
    </xf>
    <xf numFmtId="39" fontId="52" fillId="30" borderId="81" xfId="0" applyNumberFormat="1" applyFont="1" applyFill="1" applyBorder="1" applyAlignment="1">
      <alignment horizontal="center" vertical="center"/>
    </xf>
    <xf numFmtId="39" fontId="52" fillId="30" borderId="0" xfId="0" applyNumberFormat="1" applyFont="1" applyFill="1" applyBorder="1" applyAlignment="1">
      <alignment horizontal="center" vertical="center"/>
    </xf>
    <xf numFmtId="39" fontId="32" fillId="30" borderId="78" xfId="0" applyNumberFormat="1" applyFont="1" applyFill="1" applyBorder="1" applyAlignment="1" quotePrefix="1">
      <alignment horizontal="center" vertical="center"/>
    </xf>
    <xf numFmtId="39" fontId="52" fillId="30" borderId="80" xfId="0" applyNumberFormat="1" applyFont="1" applyFill="1" applyBorder="1" applyAlignment="1" quotePrefix="1">
      <alignment horizontal="center" vertical="center"/>
    </xf>
    <xf numFmtId="0" fontId="32" fillId="0" borderId="79" xfId="0" applyNumberFormat="1" applyFont="1" applyFill="1" applyBorder="1" applyAlignment="1" quotePrefix="1">
      <alignment horizontal="center" vertical="center"/>
    </xf>
    <xf numFmtId="37" fontId="55" fillId="0" borderId="0" xfId="0" applyNumberFormat="1" applyFont="1" applyFill="1" applyBorder="1" applyAlignment="1">
      <alignment vertical="center"/>
    </xf>
    <xf numFmtId="39" fontId="52" fillId="35" borderId="80" xfId="0" applyNumberFormat="1" applyFont="1" applyFill="1" applyBorder="1" applyAlignment="1">
      <alignment vertical="center"/>
    </xf>
    <xf numFmtId="39" fontId="52" fillId="35" borderId="81" xfId="0" applyNumberFormat="1" applyFont="1" applyFill="1" applyBorder="1" applyAlignment="1">
      <alignment vertical="center"/>
    </xf>
    <xf numFmtId="39" fontId="52" fillId="35" borderId="18" xfId="0" applyNumberFormat="1" applyFont="1" applyFill="1" applyBorder="1" applyAlignment="1">
      <alignment vertical="center"/>
    </xf>
    <xf numFmtId="39" fontId="52" fillId="35" borderId="0" xfId="0" applyNumberFormat="1" applyFont="1" applyFill="1" applyBorder="1" applyAlignment="1">
      <alignment vertical="center"/>
    </xf>
    <xf numFmtId="37" fontId="32" fillId="30" borderId="59" xfId="0" applyNumberFormat="1" applyFont="1" applyFill="1" applyBorder="1" applyAlignment="1">
      <alignment horizontal="right" vertical="center"/>
    </xf>
    <xf numFmtId="39" fontId="165" fillId="36" borderId="84" xfId="0" applyNumberFormat="1" applyFont="1" applyFill="1" applyBorder="1" applyAlignment="1">
      <alignment vertical="center"/>
    </xf>
    <xf numFmtId="39" fontId="165" fillId="36" borderId="85" xfId="0" applyNumberFormat="1" applyFont="1" applyFill="1" applyBorder="1" applyAlignment="1">
      <alignment vertical="center"/>
    </xf>
    <xf numFmtId="39" fontId="168" fillId="45" borderId="79" xfId="0" applyNumberFormat="1" applyFont="1" applyFill="1" applyBorder="1" applyAlignment="1">
      <alignment vertical="center"/>
    </xf>
    <xf numFmtId="39" fontId="168" fillId="45" borderId="80" xfId="0" applyNumberFormat="1" applyFont="1" applyFill="1" applyBorder="1" applyAlignment="1">
      <alignment vertical="center"/>
    </xf>
    <xf numFmtId="39" fontId="32" fillId="36" borderId="79" xfId="0" applyNumberFormat="1" applyFont="1" applyFill="1" applyBorder="1" applyAlignment="1">
      <alignment horizontal="center" vertical="center"/>
    </xf>
    <xf numFmtId="39" fontId="52" fillId="36" borderId="80" xfId="0" applyNumberFormat="1" applyFont="1" applyFill="1" applyBorder="1" applyAlignment="1">
      <alignment vertical="center"/>
    </xf>
    <xf numFmtId="39" fontId="52" fillId="36" borderId="81" xfId="0" applyNumberFormat="1" applyFont="1" applyFill="1" applyBorder="1" applyAlignment="1">
      <alignment vertical="center"/>
    </xf>
    <xf numFmtId="39" fontId="53" fillId="36" borderId="79" xfId="0" applyNumberFormat="1" applyFont="1" applyFill="1" applyBorder="1" applyAlignment="1">
      <alignment horizontal="center" vertical="center"/>
    </xf>
    <xf numFmtId="39" fontId="54" fillId="36" borderId="80" xfId="0" applyNumberFormat="1" applyFont="1" applyFill="1" applyBorder="1" applyAlignment="1">
      <alignment vertical="center"/>
    </xf>
    <xf numFmtId="39" fontId="54" fillId="36" borderId="81" xfId="0" applyNumberFormat="1" applyFont="1" applyFill="1" applyBorder="1" applyAlignment="1">
      <alignment vertical="center"/>
    </xf>
    <xf numFmtId="39" fontId="54" fillId="36" borderId="18" xfId="0" applyNumberFormat="1" applyFont="1" applyFill="1" applyBorder="1" applyAlignment="1">
      <alignment vertical="center"/>
    </xf>
    <xf numFmtId="39" fontId="54" fillId="36" borderId="0" xfId="0" applyNumberFormat="1" applyFont="1" applyFill="1" applyBorder="1" applyAlignment="1">
      <alignment vertical="center"/>
    </xf>
    <xf numFmtId="39" fontId="52" fillId="30" borderId="81" xfId="0" applyNumberFormat="1" applyFont="1" applyFill="1" applyBorder="1" applyAlignment="1" quotePrefix="1">
      <alignment horizontal="center" vertical="center"/>
    </xf>
    <xf numFmtId="39" fontId="52" fillId="30" borderId="18" xfId="0" applyNumberFormat="1" applyFont="1" applyFill="1" applyBorder="1" applyAlignment="1" quotePrefix="1">
      <alignment horizontal="center" vertical="center"/>
    </xf>
    <xf numFmtId="39" fontId="52" fillId="30" borderId="0" xfId="0" applyNumberFormat="1" applyFont="1" applyFill="1" applyBorder="1" applyAlignment="1" quotePrefix="1">
      <alignment horizontal="center" vertical="center"/>
    </xf>
    <xf numFmtId="37" fontId="53" fillId="36" borderId="78" xfId="0" applyNumberFormat="1" applyFont="1" applyFill="1" applyBorder="1" applyAlignment="1">
      <alignment vertical="center"/>
    </xf>
    <xf numFmtId="37" fontId="32" fillId="35" borderId="78" xfId="0" applyNumberFormat="1" applyFont="1" applyFill="1" applyBorder="1" applyAlignment="1">
      <alignment vertical="center"/>
    </xf>
    <xf numFmtId="39" fontId="32" fillId="37" borderId="78" xfId="0" applyNumberFormat="1" applyFont="1" applyFill="1" applyBorder="1" applyAlignment="1">
      <alignment vertical="center"/>
    </xf>
    <xf numFmtId="17" fontId="32" fillId="37" borderId="79" xfId="0" applyNumberFormat="1" applyFont="1" applyFill="1" applyBorder="1" applyAlignment="1">
      <alignment horizontal="center" vertical="center"/>
    </xf>
    <xf numFmtId="39" fontId="52" fillId="37" borderId="80" xfId="0" applyNumberFormat="1" applyFont="1" applyFill="1" applyBorder="1" applyAlignment="1">
      <alignment vertical="center"/>
    </xf>
    <xf numFmtId="39" fontId="52" fillId="37" borderId="81" xfId="0" applyNumberFormat="1" applyFont="1" applyFill="1" applyBorder="1" applyAlignment="1">
      <alignment vertical="center"/>
    </xf>
    <xf numFmtId="39" fontId="32" fillId="37" borderId="79" xfId="0" applyNumberFormat="1" applyFont="1" applyFill="1" applyBorder="1" applyAlignment="1">
      <alignment vertical="center"/>
    </xf>
    <xf numFmtId="39" fontId="32" fillId="37" borderId="80" xfId="0" applyNumberFormat="1" applyFont="1" applyFill="1" applyBorder="1" applyAlignment="1">
      <alignment vertical="center"/>
    </xf>
    <xf numFmtId="39" fontId="168" fillId="46" borderId="79" xfId="0" applyNumberFormat="1" applyFont="1" applyFill="1" applyBorder="1" applyAlignment="1">
      <alignment vertical="center"/>
    </xf>
    <xf numFmtId="39" fontId="168" fillId="46" borderId="80" xfId="0" applyNumberFormat="1" applyFont="1" applyFill="1" applyBorder="1" applyAlignment="1">
      <alignment vertical="center"/>
    </xf>
    <xf numFmtId="39" fontId="32" fillId="47" borderId="78" xfId="0" applyNumberFormat="1" applyFont="1" applyFill="1" applyBorder="1" applyAlignment="1">
      <alignment vertical="center"/>
    </xf>
    <xf numFmtId="0" fontId="32" fillId="47" borderId="79" xfId="0" applyNumberFormat="1" applyFont="1" applyFill="1" applyBorder="1" applyAlignment="1">
      <alignment horizontal="center" vertical="center"/>
    </xf>
    <xf numFmtId="39" fontId="52" fillId="47" borderId="80" xfId="0" applyNumberFormat="1" applyFont="1" applyFill="1" applyBorder="1" applyAlignment="1">
      <alignment vertical="center"/>
    </xf>
    <xf numFmtId="39" fontId="52" fillId="47" borderId="81" xfId="0" applyNumberFormat="1" applyFont="1" applyFill="1" applyBorder="1" applyAlignment="1">
      <alignment vertical="center"/>
    </xf>
    <xf numFmtId="39" fontId="52" fillId="47" borderId="18" xfId="0" applyNumberFormat="1" applyFont="1" applyFill="1" applyBorder="1" applyAlignment="1">
      <alignment vertical="center"/>
    </xf>
    <xf numFmtId="39" fontId="52" fillId="47" borderId="0" xfId="0" applyNumberFormat="1" applyFont="1" applyFill="1" applyBorder="1" applyAlignment="1">
      <alignment vertical="center"/>
    </xf>
    <xf numFmtId="39" fontId="32" fillId="47" borderId="79" xfId="0" applyNumberFormat="1" applyFont="1" applyFill="1" applyBorder="1" applyAlignment="1">
      <alignment vertical="center"/>
    </xf>
    <xf numFmtId="39" fontId="32" fillId="47" borderId="80" xfId="0" applyNumberFormat="1" applyFont="1" applyFill="1" applyBorder="1" applyAlignment="1">
      <alignment vertical="center"/>
    </xf>
    <xf numFmtId="37" fontId="55" fillId="35" borderId="0" xfId="0" applyNumberFormat="1" applyFont="1" applyFill="1" applyBorder="1" applyAlignment="1">
      <alignment vertical="center" wrapText="1"/>
    </xf>
    <xf numFmtId="39" fontId="168" fillId="48" borderId="92" xfId="0" applyNumberFormat="1" applyFont="1" applyFill="1" applyBorder="1" applyAlignment="1">
      <alignment vertical="center"/>
    </xf>
    <xf numFmtId="39" fontId="168" fillId="48" borderId="93" xfId="0" applyNumberFormat="1" applyFont="1" applyFill="1" applyBorder="1" applyAlignment="1">
      <alignment vertical="center"/>
    </xf>
    <xf numFmtId="39" fontId="164" fillId="36" borderId="0" xfId="0" applyNumberFormat="1" applyFont="1" applyFill="1" applyBorder="1" applyAlignment="1">
      <alignment vertical="center"/>
    </xf>
    <xf numFmtId="39" fontId="32" fillId="30" borderId="0" xfId="0" applyNumberFormat="1" applyFont="1" applyFill="1" applyBorder="1" applyAlignment="1">
      <alignment vertical="center"/>
    </xf>
    <xf numFmtId="37" fontId="58" fillId="36" borderId="0" xfId="0" applyNumberFormat="1" applyFont="1" applyFill="1" applyBorder="1" applyAlignment="1">
      <alignment vertical="center"/>
    </xf>
    <xf numFmtId="39" fontId="165" fillId="35" borderId="0" xfId="0" applyNumberFormat="1" applyFont="1" applyFill="1" applyBorder="1" applyAlignment="1">
      <alignment vertical="center"/>
    </xf>
    <xf numFmtId="39" fontId="53" fillId="30" borderId="0" xfId="0" applyNumberFormat="1" applyFont="1" applyFill="1" applyBorder="1" applyAlignment="1">
      <alignment vertical="center"/>
    </xf>
    <xf numFmtId="37" fontId="32" fillId="35" borderId="56" xfId="0" applyNumberFormat="1" applyFont="1" applyFill="1" applyBorder="1" applyAlignment="1">
      <alignment horizontal="center" vertical="center"/>
    </xf>
    <xf numFmtId="37" fontId="32" fillId="35" borderId="0" xfId="0" applyNumberFormat="1" applyFont="1" applyFill="1" applyBorder="1" applyAlignment="1">
      <alignment horizontal="center" vertical="center"/>
    </xf>
    <xf numFmtId="37" fontId="53" fillId="35" borderId="94" xfId="0" applyNumberFormat="1" applyFont="1" applyFill="1" applyBorder="1" applyAlignment="1">
      <alignment vertical="center"/>
    </xf>
    <xf numFmtId="37" fontId="53" fillId="35" borderId="56" xfId="0" applyNumberFormat="1" applyFont="1" applyFill="1" applyBorder="1" applyAlignment="1">
      <alignment vertical="center"/>
    </xf>
    <xf numFmtId="37" fontId="53" fillId="35" borderId="72" xfId="0" applyNumberFormat="1" applyFont="1" applyFill="1" applyBorder="1" applyAlignment="1">
      <alignment vertical="center"/>
    </xf>
    <xf numFmtId="37" fontId="52" fillId="35" borderId="94" xfId="0" applyNumberFormat="1" applyFont="1" applyFill="1" applyBorder="1" applyAlignment="1">
      <alignment vertical="center"/>
    </xf>
    <xf numFmtId="180" fontId="32" fillId="35" borderId="0" xfId="0" applyNumberFormat="1" applyFont="1" applyFill="1" applyBorder="1" applyAlignment="1">
      <alignment vertical="center"/>
    </xf>
    <xf numFmtId="181" fontId="32" fillId="35" borderId="0" xfId="0" applyNumberFormat="1" applyFont="1" applyFill="1" applyBorder="1" applyAlignment="1">
      <alignment vertical="center"/>
    </xf>
    <xf numFmtId="37" fontId="32" fillId="35" borderId="72" xfId="0" applyNumberFormat="1" applyFont="1" applyFill="1" applyBorder="1" applyAlignment="1">
      <alignment vertical="center"/>
    </xf>
    <xf numFmtId="37" fontId="32" fillId="35" borderId="57" xfId="0" applyNumberFormat="1" applyFont="1" applyFill="1" applyBorder="1" applyAlignment="1">
      <alignment horizontal="center" vertical="center"/>
    </xf>
    <xf numFmtId="37" fontId="52" fillId="35" borderId="57" xfId="0" applyNumberFormat="1" applyFont="1" applyFill="1" applyBorder="1" applyAlignment="1">
      <alignment vertical="center"/>
    </xf>
    <xf numFmtId="37" fontId="59" fillId="35" borderId="57" xfId="0" applyNumberFormat="1" applyFont="1" applyFill="1" applyBorder="1" applyAlignment="1">
      <alignment vertical="center"/>
    </xf>
    <xf numFmtId="180" fontId="60" fillId="35" borderId="57" xfId="0" applyNumberFormat="1" applyFont="1" applyFill="1" applyBorder="1" applyAlignment="1">
      <alignment vertical="center"/>
    </xf>
    <xf numFmtId="181" fontId="60" fillId="35" borderId="57" xfId="0" applyNumberFormat="1" applyFont="1" applyFill="1" applyBorder="1" applyAlignment="1">
      <alignment vertical="center"/>
    </xf>
    <xf numFmtId="37" fontId="32" fillId="35" borderId="58" xfId="0" applyNumberFormat="1" applyFont="1" applyFill="1" applyBorder="1" applyAlignment="1">
      <alignment vertical="center"/>
    </xf>
    <xf numFmtId="180" fontId="60" fillId="35" borderId="56" xfId="0" applyNumberFormat="1" applyFont="1" applyFill="1" applyBorder="1" applyAlignment="1">
      <alignment vertical="center"/>
    </xf>
    <xf numFmtId="37" fontId="32" fillId="0" borderId="56" xfId="0" applyNumberFormat="1" applyFont="1" applyFill="1" applyBorder="1" applyAlignment="1">
      <alignment vertical="center"/>
    </xf>
    <xf numFmtId="181" fontId="60" fillId="35" borderId="56" xfId="0" applyNumberFormat="1" applyFont="1" applyFill="1" applyBorder="1" applyAlignment="1">
      <alignment vertical="center"/>
    </xf>
    <xf numFmtId="37" fontId="32" fillId="35" borderId="60" xfId="0" applyNumberFormat="1" applyFont="1" applyFill="1" applyBorder="1" applyAlignment="1">
      <alignment vertical="center"/>
    </xf>
    <xf numFmtId="37" fontId="59" fillId="34" borderId="0" xfId="0" applyNumberFormat="1" applyFont="1" applyFill="1" applyBorder="1" applyAlignment="1">
      <alignment vertical="center"/>
    </xf>
    <xf numFmtId="180" fontId="60" fillId="35" borderId="0" xfId="0" applyNumberFormat="1" applyFont="1" applyFill="1" applyBorder="1" applyAlignment="1">
      <alignment vertical="center"/>
    </xf>
    <xf numFmtId="181" fontId="60" fillId="35" borderId="0" xfId="0" applyNumberFormat="1" applyFont="1" applyFill="1" applyBorder="1" applyAlignment="1">
      <alignment vertical="center"/>
    </xf>
    <xf numFmtId="37" fontId="32" fillId="35" borderId="59" xfId="0" applyNumberFormat="1" applyFont="1" applyFill="1" applyBorder="1" applyAlignment="1">
      <alignment vertical="center"/>
    </xf>
    <xf numFmtId="37" fontId="32" fillId="30" borderId="0" xfId="0" applyNumberFormat="1" applyFont="1" applyFill="1" applyBorder="1" applyAlignment="1">
      <alignment horizontal="center" vertical="center"/>
    </xf>
    <xf numFmtId="14" fontId="53" fillId="30" borderId="57" xfId="0" applyNumberFormat="1" applyFont="1" applyFill="1" applyBorder="1" applyAlignment="1">
      <alignment horizontal="center" vertical="center"/>
    </xf>
    <xf numFmtId="14" fontId="53" fillId="30" borderId="57" xfId="0" applyNumberFormat="1" applyFont="1" applyFill="1" applyBorder="1" applyAlignment="1">
      <alignment horizontal="center" vertical="center" wrapText="1"/>
    </xf>
    <xf numFmtId="37" fontId="59" fillId="35" borderId="73" xfId="0" applyNumberFormat="1" applyFont="1" applyFill="1" applyBorder="1" applyAlignment="1">
      <alignment horizontal="center" vertical="center"/>
    </xf>
    <xf numFmtId="37" fontId="59" fillId="35" borderId="74" xfId="0" applyNumberFormat="1" applyFont="1" applyFill="1" applyBorder="1" applyAlignment="1">
      <alignment horizontal="center" vertical="center"/>
    </xf>
    <xf numFmtId="37" fontId="59" fillId="35" borderId="75" xfId="0" applyNumberFormat="1" applyFont="1" applyFill="1" applyBorder="1" applyAlignment="1">
      <alignment horizontal="center" vertical="center"/>
    </xf>
    <xf numFmtId="37" fontId="54" fillId="30" borderId="73" xfId="0" applyNumberFormat="1" applyFont="1" applyFill="1" applyBorder="1" applyAlignment="1">
      <alignment horizontal="center" vertical="center"/>
    </xf>
    <xf numFmtId="180" fontId="53" fillId="30" borderId="73" xfId="0" applyNumberFormat="1" applyFont="1" applyFill="1" applyBorder="1" applyAlignment="1">
      <alignment horizontal="center" vertical="center"/>
    </xf>
    <xf numFmtId="181" fontId="53" fillId="30" borderId="74" xfId="0" applyNumberFormat="1" applyFont="1" applyFill="1" applyBorder="1" applyAlignment="1">
      <alignment horizontal="center" vertical="center"/>
    </xf>
    <xf numFmtId="37" fontId="53" fillId="30" borderId="59" xfId="0" applyNumberFormat="1" applyFont="1" applyFill="1" applyBorder="1" applyAlignment="1">
      <alignment horizontal="center" vertical="center"/>
    </xf>
    <xf numFmtId="37" fontId="53" fillId="30" borderId="0" xfId="0" applyNumberFormat="1" applyFont="1" applyFill="1" applyBorder="1" applyAlignment="1">
      <alignment horizontal="center" vertical="center"/>
    </xf>
    <xf numFmtId="37" fontId="57" fillId="44" borderId="0" xfId="0" applyNumberFormat="1" applyFont="1" applyFill="1" applyBorder="1" applyAlignment="1">
      <alignment horizontal="center" vertical="center"/>
    </xf>
    <xf numFmtId="37" fontId="53" fillId="44" borderId="0" xfId="0" applyNumberFormat="1" applyFont="1" applyFill="1" applyBorder="1" applyAlignment="1">
      <alignment horizontal="left" vertical="center"/>
    </xf>
    <xf numFmtId="37" fontId="61" fillId="44" borderId="79" xfId="0" applyNumberFormat="1" applyFont="1" applyFill="1" applyBorder="1" applyAlignment="1">
      <alignment horizontal="center" vertical="center"/>
    </xf>
    <xf numFmtId="37" fontId="53" fillId="44" borderId="0" xfId="0" applyNumberFormat="1" applyFont="1" applyFill="1" applyBorder="1" applyAlignment="1">
      <alignment horizontal="center" vertical="center"/>
    </xf>
    <xf numFmtId="37" fontId="59" fillId="35" borderId="78" xfId="0" applyNumberFormat="1" applyFont="1" applyFill="1" applyBorder="1" applyAlignment="1">
      <alignment horizontal="center" vertical="center"/>
    </xf>
    <xf numFmtId="37" fontId="59" fillId="35" borderId="79" xfId="0" applyNumberFormat="1" applyFont="1" applyFill="1" applyBorder="1" applyAlignment="1">
      <alignment horizontal="center" vertical="center"/>
    </xf>
    <xf numFmtId="37" fontId="59" fillId="35" borderId="80" xfId="0" applyNumberFormat="1" applyFont="1" applyFill="1" applyBorder="1" applyAlignment="1">
      <alignment horizontal="center" vertical="center"/>
    </xf>
    <xf numFmtId="37" fontId="54" fillId="44" borderId="78" xfId="0" applyNumberFormat="1" applyFont="1" applyFill="1" applyBorder="1" applyAlignment="1">
      <alignment horizontal="center" vertical="center"/>
    </xf>
    <xf numFmtId="180" fontId="53" fillId="44" borderId="78" xfId="0" applyNumberFormat="1" applyFont="1" applyFill="1" applyBorder="1" applyAlignment="1">
      <alignment horizontal="center" vertical="center"/>
    </xf>
    <xf numFmtId="181" fontId="53" fillId="44" borderId="79" xfId="0" applyNumberFormat="1" applyFont="1" applyFill="1" applyBorder="1" applyAlignment="1">
      <alignment horizontal="center" vertical="center"/>
    </xf>
    <xf numFmtId="37" fontId="53" fillId="44" borderId="59" xfId="0" applyNumberFormat="1" applyFont="1" applyFill="1" applyBorder="1" applyAlignment="1">
      <alignment horizontal="center" vertical="center"/>
    </xf>
    <xf numFmtId="37" fontId="53" fillId="44" borderId="91" xfId="0" applyNumberFormat="1" applyFont="1" applyFill="1" applyBorder="1" applyAlignment="1">
      <alignment horizontal="center" vertical="center"/>
    </xf>
    <xf numFmtId="37" fontId="59" fillId="35" borderId="83" xfId="0" applyNumberFormat="1" applyFont="1" applyFill="1" applyBorder="1" applyAlignment="1">
      <alignment horizontal="center" vertical="center"/>
    </xf>
    <xf numFmtId="37" fontId="59" fillId="35" borderId="84" xfId="0" applyNumberFormat="1" applyFont="1" applyFill="1" applyBorder="1" applyAlignment="1">
      <alignment horizontal="center" vertical="center"/>
    </xf>
    <xf numFmtId="37" fontId="59" fillId="35" borderId="85" xfId="0" applyNumberFormat="1" applyFont="1" applyFill="1" applyBorder="1" applyAlignment="1">
      <alignment horizontal="center" vertical="center"/>
    </xf>
    <xf numFmtId="37" fontId="54" fillId="44" borderId="83" xfId="0" applyNumberFormat="1" applyFont="1" applyFill="1" applyBorder="1" applyAlignment="1">
      <alignment horizontal="center" vertical="center"/>
    </xf>
    <xf numFmtId="14" fontId="53" fillId="44" borderId="83" xfId="0" applyNumberFormat="1" applyFont="1" applyFill="1" applyBorder="1" applyAlignment="1" quotePrefix="1">
      <alignment horizontal="center" vertical="center"/>
    </xf>
    <xf numFmtId="14" fontId="53" fillId="44" borderId="84" xfId="0" applyNumberFormat="1" applyFont="1" applyFill="1" applyBorder="1" applyAlignment="1" quotePrefix="1">
      <alignment horizontal="center" vertical="center"/>
    </xf>
    <xf numFmtId="14" fontId="54" fillId="44" borderId="84" xfId="0" applyNumberFormat="1" applyFont="1" applyFill="1" applyBorder="1" applyAlignment="1">
      <alignment horizontal="center" vertical="center"/>
    </xf>
    <xf numFmtId="14" fontId="53" fillId="44" borderId="85" xfId="0" applyNumberFormat="1" applyFont="1" applyFill="1" applyBorder="1" applyAlignment="1">
      <alignment horizontal="center" vertical="center"/>
    </xf>
    <xf numFmtId="37" fontId="32" fillId="44" borderId="95" xfId="0" applyNumberFormat="1" applyFont="1" applyFill="1" applyBorder="1" applyAlignment="1">
      <alignment vertical="center"/>
    </xf>
    <xf numFmtId="14" fontId="53" fillId="44" borderId="0" xfId="0" applyNumberFormat="1" applyFont="1" applyFill="1" applyBorder="1" applyAlignment="1" quotePrefix="1">
      <alignment horizontal="center" vertical="center"/>
    </xf>
    <xf numFmtId="14" fontId="53" fillId="44" borderId="0" xfId="0" applyNumberFormat="1" applyFont="1" applyFill="1" applyBorder="1" applyAlignment="1">
      <alignment horizontal="center" vertical="center"/>
    </xf>
    <xf numFmtId="37" fontId="62" fillId="36" borderId="96" xfId="0" applyNumberFormat="1" applyFont="1" applyFill="1" applyBorder="1" applyAlignment="1">
      <alignment horizontal="center" vertical="center"/>
    </xf>
    <xf numFmtId="37" fontId="32" fillId="36" borderId="78" xfId="0" applyNumberFormat="1" applyFont="1" applyFill="1" applyBorder="1" applyAlignment="1">
      <alignment vertical="center"/>
    </xf>
    <xf numFmtId="37" fontId="32" fillId="35" borderId="14" xfId="0" applyNumberFormat="1" applyFont="1" applyFill="1" applyBorder="1" applyAlignment="1">
      <alignment horizontal="center" vertical="center"/>
    </xf>
    <xf numFmtId="37" fontId="52" fillId="36" borderId="78" xfId="0" applyNumberFormat="1" applyFont="1" applyFill="1" applyBorder="1" applyAlignment="1">
      <alignment vertical="center"/>
    </xf>
    <xf numFmtId="39" fontId="32" fillId="35" borderId="79" xfId="0" applyNumberFormat="1" applyFont="1" applyFill="1" applyBorder="1" applyAlignment="1">
      <alignment horizontal="center" vertical="center"/>
    </xf>
    <xf numFmtId="37" fontId="63" fillId="36" borderId="59" xfId="0" applyNumberFormat="1" applyFont="1" applyFill="1" applyBorder="1" applyAlignment="1">
      <alignment vertical="center"/>
    </xf>
    <xf numFmtId="37" fontId="53" fillId="35" borderId="0" xfId="0" applyNumberFormat="1" applyFont="1" applyFill="1" applyBorder="1" applyAlignment="1">
      <alignment vertical="center"/>
    </xf>
    <xf numFmtId="37" fontId="32" fillId="35" borderId="18" xfId="0" applyNumberFormat="1" applyFont="1" applyFill="1" applyBorder="1" applyAlignment="1">
      <alignment horizontal="center" vertical="center"/>
    </xf>
    <xf numFmtId="37" fontId="52" fillId="35" borderId="78" xfId="0" applyNumberFormat="1" applyFont="1" applyFill="1" applyBorder="1" applyAlignment="1">
      <alignment vertical="center"/>
    </xf>
    <xf numFmtId="37" fontId="32" fillId="4" borderId="0" xfId="0" applyNumberFormat="1" applyFont="1" applyFill="1" applyBorder="1" applyAlignment="1">
      <alignment horizontal="center" vertical="center"/>
    </xf>
    <xf numFmtId="37" fontId="53" fillId="4" borderId="0" xfId="0" applyNumberFormat="1" applyFont="1" applyFill="1" applyBorder="1" applyAlignment="1">
      <alignment vertical="center"/>
    </xf>
    <xf numFmtId="37" fontId="32" fillId="4" borderId="79" xfId="0" applyNumberFormat="1" applyFont="1" applyFill="1" applyBorder="1" applyAlignment="1">
      <alignment horizontal="right" vertical="center"/>
    </xf>
    <xf numFmtId="185" fontId="32" fillId="4" borderId="79" xfId="52" applyNumberFormat="1" applyFont="1" applyFill="1" applyBorder="1" applyAlignment="1">
      <alignment horizontal="right" vertical="center"/>
    </xf>
    <xf numFmtId="39" fontId="32" fillId="4" borderId="14" xfId="0" applyNumberFormat="1" applyFont="1" applyFill="1" applyBorder="1" applyAlignment="1">
      <alignment horizontal="center" vertical="center"/>
    </xf>
    <xf numFmtId="39" fontId="32" fillId="4" borderId="0" xfId="0" applyNumberFormat="1" applyFont="1" applyFill="1" applyBorder="1" applyAlignment="1">
      <alignment horizontal="center" vertical="center"/>
    </xf>
    <xf numFmtId="39" fontId="52" fillId="4" borderId="78" xfId="0" applyNumberFormat="1" applyFont="1" applyFill="1" applyBorder="1" applyAlignment="1">
      <alignment vertical="center"/>
    </xf>
    <xf numFmtId="39" fontId="53" fillId="4" borderId="78" xfId="0" applyNumberFormat="1" applyFont="1" applyFill="1" applyBorder="1" applyAlignment="1">
      <alignment vertical="center"/>
    </xf>
    <xf numFmtId="39" fontId="53" fillId="4" borderId="79" xfId="0" applyNumberFormat="1" applyFont="1" applyFill="1" applyBorder="1" applyAlignment="1">
      <alignment vertical="center"/>
    </xf>
    <xf numFmtId="39" fontId="32" fillId="4" borderId="80" xfId="46" applyNumberFormat="1" applyFont="1" applyFill="1" applyBorder="1" applyAlignment="1">
      <alignment vertical="center"/>
    </xf>
    <xf numFmtId="37" fontId="32" fillId="4" borderId="59" xfId="0" applyNumberFormat="1" applyFont="1" applyFill="1" applyBorder="1" applyAlignment="1">
      <alignment vertical="center"/>
    </xf>
    <xf numFmtId="39" fontId="53" fillId="4" borderId="0" xfId="0" applyNumberFormat="1" applyFont="1" applyFill="1" applyBorder="1" applyAlignment="1">
      <alignment vertical="center"/>
    </xf>
    <xf numFmtId="39" fontId="32" fillId="4" borderId="0" xfId="0" applyNumberFormat="1" applyFont="1" applyFill="1" applyBorder="1" applyAlignment="1">
      <alignment vertical="center"/>
    </xf>
    <xf numFmtId="174" fontId="32" fillId="36" borderId="79" xfId="0" applyNumberFormat="1" applyFont="1" applyFill="1" applyBorder="1" applyAlignment="1">
      <alignment vertical="center"/>
    </xf>
    <xf numFmtId="39" fontId="32" fillId="35" borderId="14" xfId="0" applyNumberFormat="1" applyFont="1" applyFill="1" applyBorder="1" applyAlignment="1">
      <alignment horizontal="center" vertical="center"/>
    </xf>
    <xf numFmtId="39" fontId="32" fillId="35" borderId="18" xfId="0" applyNumberFormat="1" applyFont="1" applyFill="1" applyBorder="1" applyAlignment="1">
      <alignment horizontal="center" vertical="center"/>
    </xf>
    <xf numFmtId="39" fontId="32" fillId="35" borderId="0" xfId="0" applyNumberFormat="1" applyFont="1" applyFill="1" applyBorder="1" applyAlignment="1">
      <alignment horizontal="center" vertical="center"/>
    </xf>
    <xf numFmtId="37" fontId="32" fillId="36" borderId="59" xfId="0" applyNumberFormat="1" applyFont="1" applyFill="1" applyBorder="1" applyAlignment="1">
      <alignment vertical="center"/>
    </xf>
    <xf numFmtId="39" fontId="32" fillId="4" borderId="14" xfId="0" applyNumberFormat="1" applyFont="1" applyFill="1" applyBorder="1" applyAlignment="1" quotePrefix="1">
      <alignment horizontal="center" vertical="center" wrapText="1"/>
    </xf>
    <xf numFmtId="37" fontId="62" fillId="4" borderId="79" xfId="0" applyNumberFormat="1" applyFont="1" applyFill="1" applyBorder="1" applyAlignment="1">
      <alignment horizontal="right" vertical="center"/>
    </xf>
    <xf numFmtId="39" fontId="32" fillId="4" borderId="0" xfId="0" applyNumberFormat="1" applyFont="1" applyFill="1" applyBorder="1" applyAlignment="1" quotePrefix="1">
      <alignment horizontal="center" vertical="center"/>
    </xf>
    <xf numFmtId="39" fontId="32" fillId="36" borderId="82" xfId="0" applyNumberFormat="1" applyFont="1" applyFill="1" applyBorder="1" applyAlignment="1">
      <alignment vertical="center"/>
    </xf>
    <xf numFmtId="37" fontId="32" fillId="4" borderId="14" xfId="0" applyNumberFormat="1" applyFont="1" applyFill="1" applyBorder="1" applyAlignment="1">
      <alignment horizontal="center" vertical="center"/>
    </xf>
    <xf numFmtId="37" fontId="52" fillId="36" borderId="82" xfId="0" applyNumberFormat="1" applyFont="1" applyFill="1" applyBorder="1" applyAlignment="1">
      <alignment vertical="center"/>
    </xf>
    <xf numFmtId="39" fontId="52" fillId="4" borderId="79" xfId="0" applyNumberFormat="1" applyFont="1" applyFill="1" applyBorder="1" applyAlignment="1">
      <alignment vertical="center"/>
    </xf>
    <xf numFmtId="39" fontId="53" fillId="4" borderId="82" xfId="0" applyNumberFormat="1" applyFont="1" applyFill="1" applyBorder="1" applyAlignment="1">
      <alignment vertical="center"/>
    </xf>
    <xf numFmtId="37" fontId="165" fillId="36" borderId="91" xfId="0" applyNumberFormat="1" applyFont="1" applyFill="1" applyBorder="1" applyAlignment="1">
      <alignment horizontal="center" vertical="center"/>
    </xf>
    <xf numFmtId="37" fontId="164" fillId="36" borderId="91" xfId="0" applyNumberFormat="1" applyFont="1" applyFill="1" applyBorder="1" applyAlignment="1">
      <alignment vertical="center"/>
    </xf>
    <xf numFmtId="37" fontId="164" fillId="36" borderId="84" xfId="0" applyNumberFormat="1" applyFont="1" applyFill="1" applyBorder="1" applyAlignment="1">
      <alignment vertical="center"/>
    </xf>
    <xf numFmtId="39" fontId="164" fillId="36" borderId="97" xfId="0" applyNumberFormat="1" applyFont="1" applyFill="1" applyBorder="1" applyAlignment="1">
      <alignment horizontal="center" vertical="center"/>
    </xf>
    <xf numFmtId="39" fontId="164" fillId="36" borderId="91" xfId="0" applyNumberFormat="1" applyFont="1" applyFill="1" applyBorder="1" applyAlignment="1">
      <alignment horizontal="center" vertical="center"/>
    </xf>
    <xf numFmtId="37" fontId="165" fillId="36" borderId="83" xfId="0" applyNumberFormat="1" applyFont="1" applyFill="1" applyBorder="1" applyAlignment="1">
      <alignment vertical="center"/>
    </xf>
    <xf numFmtId="37" fontId="165" fillId="36" borderId="84" xfId="0" applyNumberFormat="1" applyFont="1" applyFill="1" applyBorder="1" applyAlignment="1">
      <alignment vertical="center"/>
    </xf>
    <xf numFmtId="37" fontId="165" fillId="35" borderId="85" xfId="0" applyNumberFormat="1" applyFont="1" applyFill="1" applyBorder="1" applyAlignment="1">
      <alignment vertical="center"/>
    </xf>
    <xf numFmtId="39" fontId="164" fillId="36" borderId="98" xfId="0" applyNumberFormat="1" applyFont="1" applyFill="1" applyBorder="1" applyAlignment="1">
      <alignment vertical="center"/>
    </xf>
    <xf numFmtId="39" fontId="164" fillId="36" borderId="87" xfId="0" applyNumberFormat="1" applyFont="1" applyFill="1" applyBorder="1" applyAlignment="1">
      <alignment vertical="center"/>
    </xf>
    <xf numFmtId="37" fontId="164" fillId="36" borderId="95" xfId="0" applyNumberFormat="1" applyFont="1" applyFill="1" applyBorder="1" applyAlignment="1">
      <alignment vertical="center"/>
    </xf>
    <xf numFmtId="37" fontId="164" fillId="35" borderId="0" xfId="0" applyNumberFormat="1" applyFont="1" applyFill="1" applyBorder="1" applyAlignment="1">
      <alignment vertical="center"/>
    </xf>
    <xf numFmtId="174" fontId="171" fillId="35" borderId="78" xfId="0" applyNumberFormat="1" applyFont="1" applyFill="1" applyBorder="1" applyAlignment="1">
      <alignment vertical="center"/>
    </xf>
    <xf numFmtId="39" fontId="60" fillId="35" borderId="82" xfId="0" applyNumberFormat="1" applyFont="1" applyFill="1" applyBorder="1" applyAlignment="1">
      <alignment vertical="center"/>
    </xf>
    <xf numFmtId="39" fontId="60" fillId="35" borderId="79" xfId="0" applyNumberFormat="1" applyFont="1" applyFill="1" applyBorder="1" applyAlignment="1">
      <alignment vertical="center"/>
    </xf>
    <xf numFmtId="37" fontId="32" fillId="35" borderId="0" xfId="0" applyNumberFormat="1" applyFont="1" applyFill="1" applyBorder="1" applyAlignment="1">
      <alignment horizontal="right" vertical="center"/>
    </xf>
    <xf numFmtId="39" fontId="32" fillId="35" borderId="0" xfId="0" applyNumberFormat="1" applyFont="1" applyFill="1" applyBorder="1" applyAlignment="1">
      <alignment horizontal="right" vertical="center"/>
    </xf>
    <xf numFmtId="10" fontId="32" fillId="35" borderId="0" xfId="52" applyNumberFormat="1" applyFont="1" applyFill="1" applyBorder="1" applyAlignment="1">
      <alignment vertical="center"/>
    </xf>
    <xf numFmtId="180" fontId="32" fillId="35" borderId="0" xfId="0" applyNumberFormat="1" applyFont="1" applyFill="1" applyBorder="1" applyAlignment="1">
      <alignment horizontal="right" vertical="center"/>
    </xf>
    <xf numFmtId="37" fontId="32" fillId="4" borderId="79" xfId="0" applyNumberFormat="1" applyFont="1" applyFill="1" applyBorder="1" applyAlignment="1">
      <alignment vertical="center"/>
    </xf>
    <xf numFmtId="39" fontId="165" fillId="36" borderId="83" xfId="0" applyNumberFormat="1" applyFont="1" applyFill="1" applyBorder="1" applyAlignment="1">
      <alignment vertical="center"/>
    </xf>
    <xf numFmtId="174" fontId="165" fillId="36" borderId="84" xfId="0" applyNumberFormat="1" applyFont="1" applyFill="1" applyBorder="1" applyAlignment="1">
      <alignment vertical="center"/>
    </xf>
    <xf numFmtId="37" fontId="165" fillId="35" borderId="83" xfId="0" applyNumberFormat="1" applyFont="1" applyFill="1" applyBorder="1" applyAlignment="1">
      <alignment vertical="center"/>
    </xf>
    <xf numFmtId="37" fontId="165" fillId="36" borderId="95" xfId="0" applyNumberFormat="1" applyFont="1" applyFill="1" applyBorder="1" applyAlignment="1">
      <alignment vertical="center"/>
    </xf>
    <xf numFmtId="39" fontId="164" fillId="35" borderId="0" xfId="0" applyNumberFormat="1" applyFont="1" applyFill="1" applyBorder="1" applyAlignment="1">
      <alignment vertical="center"/>
    </xf>
    <xf numFmtId="37" fontId="165" fillId="35" borderId="0" xfId="0" applyNumberFormat="1" applyFont="1" applyFill="1" applyBorder="1" applyAlignment="1">
      <alignment vertical="center"/>
    </xf>
    <xf numFmtId="37" fontId="63" fillId="36" borderId="0" xfId="0" applyNumberFormat="1" applyFont="1" applyFill="1" applyBorder="1" applyAlignment="1">
      <alignment vertical="center"/>
    </xf>
    <xf numFmtId="37" fontId="63" fillId="36" borderId="79" xfId="0" applyNumberFormat="1" applyFont="1" applyFill="1" applyBorder="1" applyAlignment="1">
      <alignment vertical="center"/>
    </xf>
    <xf numFmtId="39" fontId="63" fillId="36" borderId="79" xfId="0" applyNumberFormat="1" applyFont="1" applyFill="1" applyBorder="1" applyAlignment="1">
      <alignment vertical="center"/>
    </xf>
    <xf numFmtId="39" fontId="63" fillId="36" borderId="14" xfId="0" applyNumberFormat="1" applyFont="1" applyFill="1" applyBorder="1" applyAlignment="1">
      <alignment horizontal="center" vertical="center"/>
    </xf>
    <xf numFmtId="39" fontId="63" fillId="36" borderId="0" xfId="0" applyNumberFormat="1" applyFont="1" applyFill="1" applyBorder="1" applyAlignment="1">
      <alignment horizontal="center" vertical="center"/>
    </xf>
    <xf numFmtId="39" fontId="65" fillId="36" borderId="78" xfId="0" applyNumberFormat="1" applyFont="1" applyFill="1" applyBorder="1" applyAlignment="1">
      <alignment vertical="center"/>
    </xf>
    <xf numFmtId="39" fontId="66" fillId="36" borderId="78" xfId="0" applyNumberFormat="1" applyFont="1" applyFill="1" applyBorder="1" applyAlignment="1">
      <alignment vertical="center"/>
    </xf>
    <xf numFmtId="39" fontId="63" fillId="36" borderId="99" xfId="0" applyNumberFormat="1" applyFont="1" applyFill="1" applyBorder="1" applyAlignment="1">
      <alignment vertical="center"/>
    </xf>
    <xf numFmtId="39" fontId="66" fillId="36" borderId="79" xfId="0" applyNumberFormat="1" applyFont="1" applyFill="1" applyBorder="1" applyAlignment="1">
      <alignment vertical="center"/>
    </xf>
    <xf numFmtId="39" fontId="53" fillId="36" borderId="80" xfId="0" applyNumberFormat="1" applyFont="1" applyFill="1" applyBorder="1" applyAlignment="1">
      <alignment vertical="center"/>
    </xf>
    <xf numFmtId="39" fontId="63" fillId="36" borderId="0" xfId="0" applyNumberFormat="1" applyFont="1" applyFill="1" applyBorder="1" applyAlignment="1">
      <alignment vertical="center"/>
    </xf>
    <xf numFmtId="39" fontId="66" fillId="36" borderId="0" xfId="0" applyNumberFormat="1" applyFont="1" applyFill="1" applyBorder="1" applyAlignment="1">
      <alignment vertical="center"/>
    </xf>
    <xf numFmtId="39" fontId="32" fillId="4" borderId="14" xfId="0" applyNumberFormat="1" applyFont="1" applyFill="1" applyBorder="1" applyAlignment="1" quotePrefix="1">
      <alignment horizontal="center" vertical="center"/>
    </xf>
    <xf numFmtId="174" fontId="32" fillId="35" borderId="14" xfId="0" applyNumberFormat="1" applyFont="1" applyFill="1" applyBorder="1" applyAlignment="1">
      <alignment horizontal="center" vertical="center"/>
    </xf>
    <xf numFmtId="174" fontId="32" fillId="36" borderId="0" xfId="0" applyNumberFormat="1" applyFont="1" applyFill="1" applyBorder="1" applyAlignment="1">
      <alignment horizontal="center" vertical="center"/>
    </xf>
    <xf numFmtId="37" fontId="165" fillId="35" borderId="84" xfId="0" applyNumberFormat="1" applyFont="1" applyFill="1" applyBorder="1" applyAlignment="1">
      <alignment vertical="center"/>
    </xf>
    <xf numFmtId="39" fontId="165" fillId="35" borderId="85" xfId="0" applyNumberFormat="1" applyFont="1" applyFill="1" applyBorder="1" applyAlignment="1">
      <alignment vertical="center"/>
    </xf>
    <xf numFmtId="39" fontId="168" fillId="10" borderId="78" xfId="0" applyNumberFormat="1" applyFont="1" applyFill="1" applyBorder="1" applyAlignment="1">
      <alignment vertical="center"/>
    </xf>
    <xf numFmtId="37" fontId="168" fillId="10" borderId="79" xfId="0" applyNumberFormat="1" applyFont="1" applyFill="1" applyBorder="1" applyAlignment="1">
      <alignment vertical="center"/>
    </xf>
    <xf numFmtId="39" fontId="168" fillId="10" borderId="79" xfId="0" applyNumberFormat="1" applyFont="1" applyFill="1" applyBorder="1" applyAlignment="1">
      <alignment vertical="center"/>
    </xf>
    <xf numFmtId="39" fontId="168" fillId="10" borderId="14" xfId="0" applyNumberFormat="1" applyFont="1" applyFill="1" applyBorder="1" applyAlignment="1">
      <alignment horizontal="center" vertical="center"/>
    </xf>
    <xf numFmtId="39" fontId="168" fillId="10" borderId="0" xfId="0" applyNumberFormat="1" applyFont="1" applyFill="1" applyBorder="1" applyAlignment="1">
      <alignment horizontal="center" vertical="center"/>
    </xf>
    <xf numFmtId="0" fontId="168" fillId="10" borderId="79" xfId="0" applyNumberFormat="1" applyFont="1" applyFill="1" applyBorder="1" applyAlignment="1">
      <alignment horizontal="center" vertical="center"/>
    </xf>
    <xf numFmtId="37" fontId="172" fillId="10" borderId="81" xfId="0" applyNumberFormat="1" applyFont="1" applyFill="1" applyBorder="1" applyAlignment="1">
      <alignment vertical="center"/>
    </xf>
    <xf numFmtId="37" fontId="172" fillId="10" borderId="18" xfId="0" applyNumberFormat="1" applyFont="1" applyFill="1" applyBorder="1" applyAlignment="1">
      <alignment vertical="center"/>
    </xf>
    <xf numFmtId="37" fontId="172" fillId="10" borderId="0" xfId="0" applyNumberFormat="1" applyFont="1" applyFill="1" applyBorder="1" applyAlignment="1">
      <alignment vertical="center"/>
    </xf>
    <xf numFmtId="37" fontId="168" fillId="10" borderId="78" xfId="0" applyNumberFormat="1" applyFont="1" applyFill="1" applyBorder="1" applyAlignment="1">
      <alignment vertical="center"/>
    </xf>
    <xf numFmtId="37" fontId="168" fillId="10" borderId="80" xfId="0" applyNumberFormat="1" applyFont="1" applyFill="1" applyBorder="1" applyAlignment="1">
      <alignment vertical="center"/>
    </xf>
    <xf numFmtId="39" fontId="168" fillId="10" borderId="100" xfId="0" applyNumberFormat="1" applyFont="1" applyFill="1" applyBorder="1" applyAlignment="1">
      <alignment vertical="center"/>
    </xf>
    <xf numFmtId="2" fontId="168" fillId="10" borderId="79" xfId="0" applyNumberFormat="1" applyFont="1" applyFill="1" applyBorder="1" applyAlignment="1">
      <alignment horizontal="right" vertical="center"/>
    </xf>
    <xf numFmtId="37" fontId="168" fillId="10" borderId="59" xfId="0" applyNumberFormat="1" applyFont="1" applyFill="1" applyBorder="1" applyAlignment="1">
      <alignment vertical="center"/>
    </xf>
    <xf numFmtId="39" fontId="168" fillId="10" borderId="0" xfId="0" applyNumberFormat="1" applyFont="1" applyFill="1" applyBorder="1" applyAlignment="1">
      <alignment vertical="center"/>
    </xf>
    <xf numFmtId="37" fontId="168" fillId="35" borderId="0" xfId="0" applyNumberFormat="1" applyFont="1" applyFill="1" applyBorder="1" applyAlignment="1">
      <alignment vertical="center"/>
    </xf>
    <xf numFmtId="37" fontId="173" fillId="35" borderId="0" xfId="0" applyNumberFormat="1" applyFont="1" applyFill="1" applyBorder="1" applyAlignment="1">
      <alignment horizontal="center" vertical="center"/>
    </xf>
    <xf numFmtId="37" fontId="169" fillId="35" borderId="0" xfId="0" applyNumberFormat="1" applyFont="1" applyFill="1" applyBorder="1" applyAlignment="1">
      <alignment vertical="center"/>
    </xf>
    <xf numFmtId="39" fontId="169" fillId="35" borderId="78" xfId="0" applyNumberFormat="1" applyFont="1" applyFill="1" applyBorder="1" applyAlignment="1">
      <alignment vertical="center"/>
    </xf>
    <xf numFmtId="39" fontId="169" fillId="35" borderId="79" xfId="0" applyNumberFormat="1" applyFont="1" applyFill="1" applyBorder="1" applyAlignment="1">
      <alignment vertical="center"/>
    </xf>
    <xf numFmtId="39" fontId="169" fillId="35" borderId="14" xfId="0" applyNumberFormat="1" applyFont="1" applyFill="1" applyBorder="1" applyAlignment="1">
      <alignment horizontal="center" vertical="center"/>
    </xf>
    <xf numFmtId="39" fontId="169" fillId="35" borderId="0" xfId="0" applyNumberFormat="1" applyFont="1" applyFill="1" applyBorder="1" applyAlignment="1">
      <alignment horizontal="center" vertical="center"/>
    </xf>
    <xf numFmtId="39" fontId="174" fillId="35" borderId="78" xfId="0" applyNumberFormat="1" applyFont="1" applyFill="1" applyBorder="1" applyAlignment="1">
      <alignment vertical="center"/>
    </xf>
    <xf numFmtId="39" fontId="53" fillId="35" borderId="80" xfId="0" applyNumberFormat="1" applyFont="1" applyFill="1" applyBorder="1" applyAlignment="1">
      <alignment vertical="center"/>
    </xf>
    <xf numFmtId="37" fontId="169" fillId="35" borderId="59" xfId="0" applyNumberFormat="1" applyFont="1" applyFill="1" applyBorder="1" applyAlignment="1">
      <alignment vertical="center"/>
    </xf>
    <xf numFmtId="39" fontId="169" fillId="35" borderId="0" xfId="0" applyNumberFormat="1" applyFont="1" applyFill="1" applyBorder="1" applyAlignment="1">
      <alignment vertical="center"/>
    </xf>
    <xf numFmtId="37" fontId="32" fillId="7" borderId="0" xfId="0" applyNumberFormat="1" applyFont="1" applyFill="1" applyBorder="1" applyAlignment="1">
      <alignment horizontal="center" vertical="center"/>
    </xf>
    <xf numFmtId="37" fontId="53" fillId="7" borderId="0" xfId="0" applyNumberFormat="1" applyFont="1" applyFill="1" applyBorder="1" applyAlignment="1">
      <alignment vertical="center"/>
    </xf>
    <xf numFmtId="39" fontId="32" fillId="7" borderId="78" xfId="0" applyNumberFormat="1" applyFont="1" applyFill="1" applyBorder="1" applyAlignment="1">
      <alignment vertical="center"/>
    </xf>
    <xf numFmtId="37" fontId="62" fillId="7" borderId="79" xfId="0" applyNumberFormat="1" applyFont="1" applyFill="1" applyBorder="1" applyAlignment="1">
      <alignment horizontal="right" vertical="center"/>
    </xf>
    <xf numFmtId="185" fontId="32" fillId="7" borderId="79" xfId="52" applyNumberFormat="1" applyFont="1" applyFill="1" applyBorder="1" applyAlignment="1">
      <alignment horizontal="right" vertical="center"/>
    </xf>
    <xf numFmtId="37" fontId="32" fillId="7" borderId="14" xfId="0" applyNumberFormat="1" applyFont="1" applyFill="1" applyBorder="1" applyAlignment="1">
      <alignment horizontal="center" vertical="center"/>
    </xf>
    <xf numFmtId="39" fontId="32" fillId="7" borderId="0" xfId="0" applyNumberFormat="1" applyFont="1" applyFill="1" applyBorder="1" applyAlignment="1">
      <alignment horizontal="center" vertical="center" wrapText="1"/>
    </xf>
    <xf numFmtId="39" fontId="52" fillId="7" borderId="78" xfId="0" applyNumberFormat="1" applyFont="1" applyFill="1" applyBorder="1" applyAlignment="1">
      <alignment vertical="center"/>
    </xf>
    <xf numFmtId="39" fontId="53" fillId="7" borderId="78" xfId="0" applyNumberFormat="1" applyFont="1" applyFill="1" applyBorder="1" applyAlignment="1">
      <alignment vertical="center"/>
    </xf>
    <xf numFmtId="39" fontId="53" fillId="7" borderId="79" xfId="0" applyNumberFormat="1" applyFont="1" applyFill="1" applyBorder="1" applyAlignment="1">
      <alignment vertical="center"/>
    </xf>
    <xf numFmtId="39" fontId="32" fillId="7" borderId="80" xfId="46" applyNumberFormat="1" applyFont="1" applyFill="1" applyBorder="1" applyAlignment="1">
      <alignment vertical="center"/>
    </xf>
    <xf numFmtId="37" fontId="32" fillId="7" borderId="59" xfId="0" applyNumberFormat="1" applyFont="1" applyFill="1" applyBorder="1" applyAlignment="1">
      <alignment vertical="center"/>
    </xf>
    <xf numFmtId="39" fontId="53" fillId="7" borderId="0" xfId="0" applyNumberFormat="1" applyFont="1" applyFill="1" applyBorder="1" applyAlignment="1">
      <alignment vertical="center"/>
    </xf>
    <xf numFmtId="39" fontId="32" fillId="7" borderId="0" xfId="0" applyNumberFormat="1" applyFont="1" applyFill="1" applyBorder="1" applyAlignment="1">
      <alignment vertical="center"/>
    </xf>
    <xf numFmtId="37" fontId="165" fillId="36" borderId="85" xfId="0" applyNumberFormat="1" applyFont="1" applyFill="1" applyBorder="1" applyAlignment="1">
      <alignment vertical="center"/>
    </xf>
    <xf numFmtId="39" fontId="166" fillId="36" borderId="83" xfId="0" applyNumberFormat="1" applyFont="1" applyFill="1" applyBorder="1" applyAlignment="1">
      <alignment vertical="center"/>
    </xf>
    <xf numFmtId="39" fontId="164" fillId="36" borderId="95" xfId="0" applyNumberFormat="1" applyFont="1" applyFill="1" applyBorder="1" applyAlignment="1">
      <alignment vertical="center"/>
    </xf>
    <xf numFmtId="37" fontId="175" fillId="13" borderId="0" xfId="0" applyNumberFormat="1" applyFont="1" applyFill="1" applyBorder="1" applyAlignment="1">
      <alignment horizontal="center" vertical="center"/>
    </xf>
    <xf numFmtId="37" fontId="168" fillId="13" borderId="0" xfId="0" applyNumberFormat="1" applyFont="1" applyFill="1" applyBorder="1" applyAlignment="1">
      <alignment vertical="center"/>
    </xf>
    <xf numFmtId="39" fontId="168" fillId="13" borderId="78" xfId="0" applyNumberFormat="1" applyFont="1" applyFill="1" applyBorder="1" applyAlignment="1">
      <alignment vertical="center"/>
    </xf>
    <xf numFmtId="37" fontId="168" fillId="13" borderId="79" xfId="0" applyNumberFormat="1" applyFont="1" applyFill="1" applyBorder="1" applyAlignment="1">
      <alignment vertical="center"/>
    </xf>
    <xf numFmtId="39" fontId="168" fillId="13" borderId="14" xfId="0" applyNumberFormat="1" applyFont="1" applyFill="1" applyBorder="1" applyAlignment="1">
      <alignment horizontal="center" vertical="center"/>
    </xf>
    <xf numFmtId="39" fontId="168" fillId="13" borderId="0" xfId="0" applyNumberFormat="1" applyFont="1" applyFill="1" applyBorder="1" applyAlignment="1">
      <alignment horizontal="center" vertical="center"/>
    </xf>
    <xf numFmtId="0" fontId="168" fillId="13" borderId="79" xfId="0" applyNumberFormat="1" applyFont="1" applyFill="1" applyBorder="1" applyAlignment="1">
      <alignment horizontal="center" vertical="center"/>
    </xf>
    <xf numFmtId="37" fontId="172" fillId="13" borderId="80" xfId="0" applyNumberFormat="1" applyFont="1" applyFill="1" applyBorder="1" applyAlignment="1">
      <alignment vertical="center"/>
    </xf>
    <xf numFmtId="37" fontId="172" fillId="13" borderId="81" xfId="0" applyNumberFormat="1" applyFont="1" applyFill="1" applyBorder="1" applyAlignment="1">
      <alignment vertical="center"/>
    </xf>
    <xf numFmtId="37" fontId="172" fillId="13" borderId="18" xfId="0" applyNumberFormat="1" applyFont="1" applyFill="1" applyBorder="1" applyAlignment="1">
      <alignment vertical="center"/>
    </xf>
    <xf numFmtId="37" fontId="172" fillId="13" borderId="0" xfId="0" applyNumberFormat="1" applyFont="1" applyFill="1" applyBorder="1" applyAlignment="1">
      <alignment vertical="center"/>
    </xf>
    <xf numFmtId="37" fontId="168" fillId="13" borderId="78" xfId="0" applyNumberFormat="1" applyFont="1" applyFill="1" applyBorder="1" applyAlignment="1">
      <alignment vertical="center"/>
    </xf>
    <xf numFmtId="37" fontId="168" fillId="13" borderId="80" xfId="0" applyNumberFormat="1" applyFont="1" applyFill="1" applyBorder="1" applyAlignment="1">
      <alignment vertical="center"/>
    </xf>
    <xf numFmtId="39" fontId="172" fillId="13" borderId="78" xfId="0" applyNumberFormat="1" applyFont="1" applyFill="1" applyBorder="1" applyAlignment="1">
      <alignment vertical="center"/>
    </xf>
    <xf numFmtId="37" fontId="168" fillId="13" borderId="59" xfId="0" applyNumberFormat="1" applyFont="1" applyFill="1" applyBorder="1" applyAlignment="1">
      <alignment vertical="center"/>
    </xf>
    <xf numFmtId="39" fontId="168" fillId="13" borderId="0" xfId="0" applyNumberFormat="1" applyFont="1" applyFill="1" applyBorder="1" applyAlignment="1">
      <alignment vertical="center"/>
    </xf>
    <xf numFmtId="39" fontId="60" fillId="35" borderId="78" xfId="0" applyNumberFormat="1" applyFont="1" applyFill="1" applyBorder="1" applyAlignment="1">
      <alignment vertical="center"/>
    </xf>
    <xf numFmtId="39" fontId="60" fillId="36" borderId="78" xfId="0" applyNumberFormat="1" applyFont="1" applyFill="1" applyBorder="1" applyAlignment="1">
      <alignment vertical="center"/>
    </xf>
    <xf numFmtId="39" fontId="60" fillId="36" borderId="79" xfId="0" applyNumberFormat="1" applyFont="1" applyFill="1" applyBorder="1" applyAlignment="1">
      <alignment vertical="center"/>
    </xf>
    <xf numFmtId="37" fontId="53" fillId="30" borderId="0" xfId="0" applyNumberFormat="1" applyFont="1" applyFill="1" applyBorder="1" applyAlignment="1">
      <alignment vertical="center"/>
    </xf>
    <xf numFmtId="37" fontId="62" fillId="30" borderId="79" xfId="0" applyNumberFormat="1" applyFont="1" applyFill="1" applyBorder="1" applyAlignment="1">
      <alignment vertical="center"/>
    </xf>
    <xf numFmtId="185" fontId="32" fillId="30" borderId="79" xfId="52" applyNumberFormat="1" applyFont="1" applyFill="1" applyBorder="1" applyAlignment="1">
      <alignment horizontal="right" vertical="center"/>
    </xf>
    <xf numFmtId="37" fontId="32" fillId="30" borderId="14" xfId="0" applyNumberFormat="1" applyFont="1" applyFill="1" applyBorder="1" applyAlignment="1">
      <alignment horizontal="center" vertical="center"/>
    </xf>
    <xf numFmtId="37" fontId="32" fillId="30" borderId="18" xfId="0" applyNumberFormat="1" applyFont="1" applyFill="1" applyBorder="1" applyAlignment="1">
      <alignment horizontal="center" vertical="center"/>
    </xf>
    <xf numFmtId="39" fontId="32" fillId="30" borderId="0" xfId="0" applyNumberFormat="1" applyFont="1" applyFill="1" applyBorder="1" applyAlignment="1">
      <alignment horizontal="center" vertical="center"/>
    </xf>
    <xf numFmtId="39" fontId="32" fillId="30" borderId="0" xfId="0" applyNumberFormat="1" applyFont="1" applyFill="1" applyBorder="1" applyAlignment="1">
      <alignment horizontal="center" vertical="center" wrapText="1"/>
    </xf>
    <xf numFmtId="39" fontId="52" fillId="30" borderId="78" xfId="0" applyNumberFormat="1" applyFont="1" applyFill="1" applyBorder="1" applyAlignment="1">
      <alignment vertical="center"/>
    </xf>
    <xf numFmtId="39" fontId="53" fillId="30" borderId="78" xfId="0" applyNumberFormat="1" applyFont="1" applyFill="1" applyBorder="1" applyAlignment="1">
      <alignment vertical="center"/>
    </xf>
    <xf numFmtId="39" fontId="32" fillId="43" borderId="79" xfId="0" applyNumberFormat="1" applyFont="1" applyFill="1" applyBorder="1" applyAlignment="1">
      <alignment vertical="center"/>
    </xf>
    <xf numFmtId="39" fontId="53" fillId="30" borderId="79" xfId="0" applyNumberFormat="1" applyFont="1" applyFill="1" applyBorder="1" applyAlignment="1">
      <alignment vertical="center"/>
    </xf>
    <xf numFmtId="39" fontId="32" fillId="30" borderId="80" xfId="46" applyNumberFormat="1" applyFont="1" applyFill="1" applyBorder="1" applyAlignment="1">
      <alignment vertical="center"/>
    </xf>
    <xf numFmtId="37" fontId="32" fillId="30" borderId="59" xfId="0" applyNumberFormat="1" applyFont="1" applyFill="1" applyBorder="1" applyAlignment="1">
      <alignment vertical="center"/>
    </xf>
    <xf numFmtId="37" fontId="165" fillId="35" borderId="91" xfId="0" applyNumberFormat="1" applyFont="1" applyFill="1" applyBorder="1" applyAlignment="1">
      <alignment horizontal="center" vertical="center"/>
    </xf>
    <xf numFmtId="37" fontId="164" fillId="35" borderId="91" xfId="0" applyNumberFormat="1" applyFont="1" applyFill="1" applyBorder="1" applyAlignment="1">
      <alignment vertical="center"/>
    </xf>
    <xf numFmtId="37" fontId="164" fillId="35" borderId="84" xfId="0" applyNumberFormat="1" applyFont="1" applyFill="1" applyBorder="1" applyAlignment="1">
      <alignment vertical="center"/>
    </xf>
    <xf numFmtId="39" fontId="164" fillId="35" borderId="97" xfId="0" applyNumberFormat="1" applyFont="1" applyFill="1" applyBorder="1" applyAlignment="1">
      <alignment horizontal="center" vertical="center"/>
    </xf>
    <xf numFmtId="39" fontId="164" fillId="35" borderId="91" xfId="0" applyNumberFormat="1" applyFont="1" applyFill="1" applyBorder="1" applyAlignment="1">
      <alignment horizontal="center" vertical="center"/>
    </xf>
    <xf numFmtId="39" fontId="166" fillId="35" borderId="83" xfId="0" applyNumberFormat="1" applyFont="1" applyFill="1" applyBorder="1" applyAlignment="1">
      <alignment vertical="center"/>
    </xf>
    <xf numFmtId="37" fontId="164" fillId="35" borderId="95" xfId="0" applyNumberFormat="1" applyFont="1" applyFill="1" applyBorder="1" applyAlignment="1">
      <alignment vertical="center"/>
    </xf>
    <xf numFmtId="37" fontId="32" fillId="30" borderId="79" xfId="0" applyNumberFormat="1" applyFont="1" applyFill="1" applyBorder="1" applyAlignment="1">
      <alignment horizontal="right" vertical="center"/>
    </xf>
    <xf numFmtId="39" fontId="32" fillId="30" borderId="14" xfId="0" applyNumberFormat="1" applyFont="1" applyFill="1" applyBorder="1" applyAlignment="1">
      <alignment horizontal="center" vertical="center"/>
    </xf>
    <xf numFmtId="174" fontId="164" fillId="36" borderId="84" xfId="0" applyNumberFormat="1" applyFont="1" applyFill="1" applyBorder="1" applyAlignment="1">
      <alignment vertical="center"/>
    </xf>
    <xf numFmtId="39" fontId="32" fillId="30" borderId="14" xfId="0" applyNumberFormat="1" applyFont="1" applyFill="1" applyBorder="1" applyAlignment="1">
      <alignment horizontal="center" vertical="center" wrapText="1"/>
    </xf>
    <xf numFmtId="37" fontId="32" fillId="35" borderId="79" xfId="0" applyNumberFormat="1" applyFont="1" applyFill="1" applyBorder="1" applyAlignment="1">
      <alignment horizontal="right" vertical="center"/>
    </xf>
    <xf numFmtId="174" fontId="163" fillId="35" borderId="79" xfId="0" applyNumberFormat="1" applyFont="1" applyFill="1" applyBorder="1" applyAlignment="1">
      <alignment vertical="center"/>
    </xf>
    <xf numFmtId="37" fontId="163" fillId="35" borderId="79" xfId="0" applyNumberFormat="1" applyFont="1" applyFill="1" applyBorder="1" applyAlignment="1">
      <alignment vertical="center"/>
    </xf>
    <xf numFmtId="37" fontId="163" fillId="35" borderId="14" xfId="0" applyNumberFormat="1" applyFont="1" applyFill="1" applyBorder="1" applyAlignment="1">
      <alignment horizontal="center" vertical="center"/>
    </xf>
    <xf numFmtId="37" fontId="163" fillId="35" borderId="0" xfId="0" applyNumberFormat="1" applyFont="1" applyFill="1" applyBorder="1" applyAlignment="1">
      <alignment horizontal="center" vertical="center"/>
    </xf>
    <xf numFmtId="37" fontId="170" fillId="35" borderId="78" xfId="0" applyNumberFormat="1" applyFont="1" applyFill="1" applyBorder="1" applyAlignment="1">
      <alignment vertical="center"/>
    </xf>
    <xf numFmtId="39" fontId="163" fillId="35" borderId="79" xfId="0" applyNumberFormat="1" applyFont="1" applyFill="1" applyBorder="1" applyAlignment="1">
      <alignment vertical="center"/>
    </xf>
    <xf numFmtId="39" fontId="163" fillId="35" borderId="80" xfId="0" applyNumberFormat="1" applyFont="1" applyFill="1" applyBorder="1" applyAlignment="1">
      <alignment vertical="center"/>
    </xf>
    <xf numFmtId="37" fontId="163" fillId="35" borderId="59" xfId="0" applyNumberFormat="1" applyFont="1" applyFill="1" applyBorder="1" applyAlignment="1">
      <alignment vertical="center"/>
    </xf>
    <xf numFmtId="39" fontId="163" fillId="35" borderId="0" xfId="0" applyNumberFormat="1" applyFont="1" applyFill="1" applyBorder="1" applyAlignment="1">
      <alignment vertical="center"/>
    </xf>
    <xf numFmtId="39" fontId="32" fillId="30" borderId="0" xfId="0" applyNumberFormat="1" applyFont="1" applyFill="1" applyBorder="1" applyAlignment="1" quotePrefix="1">
      <alignment horizontal="center" vertical="center"/>
    </xf>
    <xf numFmtId="39" fontId="32" fillId="35" borderId="80" xfId="46" applyNumberFormat="1" applyFont="1" applyFill="1" applyBorder="1" applyAlignment="1">
      <alignment vertical="center"/>
    </xf>
    <xf numFmtId="175" fontId="32" fillId="35" borderId="59" xfId="44" applyNumberFormat="1" applyFont="1" applyFill="1" applyBorder="1" applyAlignment="1">
      <alignment horizontal="left" vertical="center"/>
    </xf>
    <xf numFmtId="9" fontId="32" fillId="35" borderId="0" xfId="52" applyFont="1" applyFill="1" applyBorder="1" applyAlignment="1">
      <alignment vertical="center"/>
    </xf>
    <xf numFmtId="175" fontId="32" fillId="30" borderId="59" xfId="44" applyNumberFormat="1" applyFont="1" applyFill="1" applyBorder="1" applyAlignment="1">
      <alignment horizontal="left" vertical="center"/>
    </xf>
    <xf numFmtId="37" fontId="163" fillId="30" borderId="0" xfId="0" applyNumberFormat="1" applyFont="1" applyFill="1" applyBorder="1" applyAlignment="1">
      <alignment horizontal="center" vertical="center"/>
    </xf>
    <xf numFmtId="39" fontId="32" fillId="30" borderId="18" xfId="0" applyNumberFormat="1" applyFont="1" applyFill="1" applyBorder="1" applyAlignment="1" quotePrefix="1">
      <alignment horizontal="center" vertical="center"/>
    </xf>
    <xf numFmtId="39" fontId="32" fillId="30" borderId="59" xfId="0" applyNumberFormat="1" applyFont="1" applyFill="1" applyBorder="1" applyAlignment="1">
      <alignment vertical="center"/>
    </xf>
    <xf numFmtId="39" fontId="32" fillId="36" borderId="80" xfId="46" applyNumberFormat="1" applyFont="1" applyFill="1" applyBorder="1" applyAlignment="1">
      <alignment vertical="center"/>
    </xf>
    <xf numFmtId="39" fontId="32" fillId="36" borderId="59" xfId="0" applyNumberFormat="1" applyFont="1" applyFill="1" applyBorder="1" applyAlignment="1">
      <alignment vertical="center"/>
    </xf>
    <xf numFmtId="37" fontId="32" fillId="0" borderId="79" xfId="0" applyNumberFormat="1" applyFont="1" applyFill="1" applyBorder="1" applyAlignment="1">
      <alignment vertical="center"/>
    </xf>
    <xf numFmtId="39" fontId="32" fillId="30" borderId="79" xfId="0" applyNumberFormat="1" applyFont="1" applyFill="1" applyBorder="1" applyAlignment="1">
      <alignment horizontal="right" vertical="center"/>
    </xf>
    <xf numFmtId="39" fontId="53" fillId="30" borderId="59" xfId="44" applyNumberFormat="1" applyFont="1" applyFill="1" applyBorder="1" applyAlignment="1">
      <alignment horizontal="left" vertical="center"/>
    </xf>
    <xf numFmtId="185" fontId="32" fillId="35" borderId="79" xfId="52" applyNumberFormat="1" applyFont="1" applyFill="1" applyBorder="1" applyAlignment="1">
      <alignment horizontal="right" vertical="center"/>
    </xf>
    <xf numFmtId="175" fontId="53" fillId="35" borderId="59" xfId="44" applyNumberFormat="1" applyFont="1" applyFill="1" applyBorder="1" applyAlignment="1">
      <alignment horizontal="left" vertical="center"/>
    </xf>
    <xf numFmtId="37" fontId="53" fillId="30" borderId="59" xfId="0" applyNumberFormat="1" applyFont="1" applyFill="1" applyBorder="1" applyAlignment="1">
      <alignment vertical="center"/>
    </xf>
    <xf numFmtId="39" fontId="52" fillId="35" borderId="78" xfId="0" applyNumberFormat="1" applyFont="1" applyFill="1" applyBorder="1" applyAlignment="1">
      <alignment vertical="center"/>
    </xf>
    <xf numFmtId="39" fontId="53" fillId="35" borderId="0" xfId="0" applyNumberFormat="1" applyFont="1" applyFill="1" applyBorder="1" applyAlignment="1">
      <alignment vertical="center"/>
    </xf>
    <xf numFmtId="37" fontId="32" fillId="30" borderId="18" xfId="0" applyNumberFormat="1" applyFont="1" applyFill="1" applyBorder="1" applyAlignment="1">
      <alignment horizontal="center" vertical="center" wrapText="1"/>
    </xf>
    <xf numFmtId="39" fontId="62" fillId="30" borderId="59" xfId="0" applyNumberFormat="1" applyFont="1" applyFill="1" applyBorder="1" applyAlignment="1">
      <alignment vertical="center"/>
    </xf>
    <xf numFmtId="39" fontId="32" fillId="49" borderId="0" xfId="0" applyNumberFormat="1" applyFont="1" applyFill="1" applyBorder="1" applyAlignment="1">
      <alignment vertical="center"/>
    </xf>
    <xf numFmtId="173" fontId="32" fillId="36" borderId="79" xfId="0" applyNumberFormat="1" applyFont="1" applyFill="1" applyBorder="1" applyAlignment="1">
      <alignment vertical="center"/>
    </xf>
    <xf numFmtId="4" fontId="61" fillId="35" borderId="0" xfId="0" applyNumberFormat="1" applyFont="1" applyFill="1" applyBorder="1" applyAlignment="1">
      <alignment vertical="center"/>
    </xf>
    <xf numFmtId="39" fontId="32" fillId="30" borderId="0" xfId="0" applyNumberFormat="1" applyFont="1" applyFill="1" applyBorder="1" applyAlignment="1" quotePrefix="1">
      <alignment horizontal="center" vertical="center" wrapText="1"/>
    </xf>
    <xf numFmtId="39" fontId="32" fillId="30" borderId="59" xfId="0" applyNumberFormat="1" applyFont="1" applyFill="1" applyBorder="1" applyAlignment="1">
      <alignment horizontal="left" vertical="center"/>
    </xf>
    <xf numFmtId="37" fontId="67" fillId="35" borderId="0" xfId="0" applyNumberFormat="1" applyFont="1" applyFill="1" applyBorder="1" applyAlignment="1">
      <alignment horizontal="center" vertical="center"/>
    </xf>
    <xf numFmtId="37" fontId="32" fillId="36" borderId="79" xfId="0" applyNumberFormat="1" applyFont="1" applyFill="1" applyBorder="1" applyAlignment="1">
      <alignment horizontal="right" vertical="center"/>
    </xf>
    <xf numFmtId="39" fontId="32" fillId="36" borderId="59" xfId="0" applyNumberFormat="1" applyFont="1" applyFill="1" applyBorder="1" applyAlignment="1">
      <alignment horizontal="left" vertical="center"/>
    </xf>
    <xf numFmtId="174" fontId="32" fillId="35" borderId="0" xfId="0" applyNumberFormat="1" applyFont="1" applyFill="1" applyBorder="1" applyAlignment="1">
      <alignment vertical="center"/>
    </xf>
    <xf numFmtId="39" fontId="163" fillId="36" borderId="79" xfId="0" applyNumberFormat="1" applyFont="1" applyFill="1" applyBorder="1" applyAlignment="1">
      <alignment vertical="center"/>
    </xf>
    <xf numFmtId="37" fontId="175" fillId="45" borderId="0" xfId="0" applyNumberFormat="1" applyFont="1" applyFill="1" applyBorder="1" applyAlignment="1">
      <alignment horizontal="center" vertical="center"/>
    </xf>
    <xf numFmtId="37" fontId="168" fillId="45" borderId="0" xfId="0" applyNumberFormat="1" applyFont="1" applyFill="1" applyBorder="1" applyAlignment="1">
      <alignment vertical="center"/>
    </xf>
    <xf numFmtId="39" fontId="168" fillId="45" borderId="78" xfId="0" applyNumberFormat="1" applyFont="1" applyFill="1" applyBorder="1" applyAlignment="1">
      <alignment vertical="center"/>
    </xf>
    <xf numFmtId="37" fontId="168" fillId="45" borderId="79" xfId="0" applyNumberFormat="1" applyFont="1" applyFill="1" applyBorder="1" applyAlignment="1">
      <alignment vertical="center"/>
    </xf>
    <xf numFmtId="39" fontId="168" fillId="45" borderId="14" xfId="0" applyNumberFormat="1" applyFont="1" applyFill="1" applyBorder="1" applyAlignment="1">
      <alignment horizontal="center" vertical="center"/>
    </xf>
    <xf numFmtId="39" fontId="168" fillId="45" borderId="0" xfId="0" applyNumberFormat="1" applyFont="1" applyFill="1" applyBorder="1" applyAlignment="1">
      <alignment horizontal="center" vertical="center"/>
    </xf>
    <xf numFmtId="0" fontId="168" fillId="45" borderId="79" xfId="0" applyNumberFormat="1" applyFont="1" applyFill="1" applyBorder="1" applyAlignment="1">
      <alignment horizontal="center" vertical="center"/>
    </xf>
    <xf numFmtId="37" fontId="172" fillId="45" borderId="80" xfId="0" applyNumberFormat="1" applyFont="1" applyFill="1" applyBorder="1" applyAlignment="1">
      <alignment vertical="center"/>
    </xf>
    <xf numFmtId="37" fontId="172" fillId="45" borderId="81" xfId="0" applyNumberFormat="1" applyFont="1" applyFill="1" applyBorder="1" applyAlignment="1">
      <alignment vertical="center"/>
    </xf>
    <xf numFmtId="37" fontId="172" fillId="45" borderId="18" xfId="0" applyNumberFormat="1" applyFont="1" applyFill="1" applyBorder="1" applyAlignment="1">
      <alignment vertical="center"/>
    </xf>
    <xf numFmtId="37" fontId="172" fillId="45" borderId="0" xfId="0" applyNumberFormat="1" applyFont="1" applyFill="1" applyBorder="1" applyAlignment="1">
      <alignment vertical="center"/>
    </xf>
    <xf numFmtId="37" fontId="168" fillId="45" borderId="78" xfId="0" applyNumberFormat="1" applyFont="1" applyFill="1" applyBorder="1" applyAlignment="1">
      <alignment vertical="center"/>
    </xf>
    <xf numFmtId="37" fontId="168" fillId="45" borderId="80" xfId="0" applyNumberFormat="1" applyFont="1" applyFill="1" applyBorder="1" applyAlignment="1">
      <alignment vertical="center"/>
    </xf>
    <xf numFmtId="39" fontId="172" fillId="45" borderId="78" xfId="0" applyNumberFormat="1" applyFont="1" applyFill="1" applyBorder="1" applyAlignment="1">
      <alignment vertical="center"/>
    </xf>
    <xf numFmtId="37" fontId="168" fillId="45" borderId="59" xfId="0" applyNumberFormat="1" applyFont="1" applyFill="1" applyBorder="1" applyAlignment="1">
      <alignment vertical="center"/>
    </xf>
    <xf numFmtId="39" fontId="168" fillId="45" borderId="0" xfId="0" applyNumberFormat="1" applyFont="1" applyFill="1" applyBorder="1" applyAlignment="1">
      <alignment vertical="center"/>
    </xf>
    <xf numFmtId="39" fontId="168" fillId="35" borderId="0" xfId="0" applyNumberFormat="1" applyFont="1" applyFill="1" applyBorder="1" applyAlignment="1">
      <alignment vertical="center"/>
    </xf>
    <xf numFmtId="37" fontId="54" fillId="36" borderId="78" xfId="0" applyNumberFormat="1" applyFont="1" applyFill="1" applyBorder="1" applyAlignment="1">
      <alignment vertical="center"/>
    </xf>
    <xf numFmtId="39" fontId="59" fillId="36" borderId="78" xfId="0" applyNumberFormat="1" applyFont="1" applyFill="1" applyBorder="1" applyAlignment="1">
      <alignment vertical="center"/>
    </xf>
    <xf numFmtId="39" fontId="53" fillId="36" borderId="79" xfId="0" applyNumberFormat="1" applyFont="1" applyFill="1" applyBorder="1" applyAlignment="1">
      <alignment vertical="center"/>
    </xf>
    <xf numFmtId="39" fontId="59" fillId="36" borderId="79" xfId="0" applyNumberFormat="1" applyFont="1" applyFill="1" applyBorder="1" applyAlignment="1">
      <alignment vertical="center"/>
    </xf>
    <xf numFmtId="39" fontId="169" fillId="36" borderId="78" xfId="0" applyNumberFormat="1" applyFont="1" applyFill="1" applyBorder="1" applyAlignment="1">
      <alignment vertical="center"/>
    </xf>
    <xf numFmtId="37" fontId="169" fillId="36" borderId="79" xfId="0" applyNumberFormat="1" applyFont="1" applyFill="1" applyBorder="1" applyAlignment="1">
      <alignment vertical="center"/>
    </xf>
    <xf numFmtId="39" fontId="169" fillId="36" borderId="79" xfId="0" applyNumberFormat="1" applyFont="1" applyFill="1" applyBorder="1" applyAlignment="1">
      <alignment vertical="center"/>
    </xf>
    <xf numFmtId="39" fontId="53" fillId="36" borderId="14" xfId="0" applyNumberFormat="1" applyFont="1" applyFill="1" applyBorder="1" applyAlignment="1">
      <alignment horizontal="center" vertical="center"/>
    </xf>
    <xf numFmtId="39" fontId="53" fillId="36" borderId="0" xfId="0" applyNumberFormat="1" applyFont="1" applyFill="1" applyBorder="1" applyAlignment="1">
      <alignment horizontal="center" vertical="center"/>
    </xf>
    <xf numFmtId="39" fontId="174" fillId="36" borderId="78" xfId="0" applyNumberFormat="1" applyFont="1" applyFill="1" applyBorder="1" applyAlignment="1">
      <alignment vertical="center"/>
    </xf>
    <xf numFmtId="37" fontId="169" fillId="36" borderId="59" xfId="0" applyNumberFormat="1" applyFont="1" applyFill="1" applyBorder="1" applyAlignment="1">
      <alignment vertical="center"/>
    </xf>
    <xf numFmtId="39" fontId="169" fillId="36" borderId="0" xfId="0" applyNumberFormat="1" applyFont="1" applyFill="1" applyBorder="1" applyAlignment="1">
      <alignment vertical="center"/>
    </xf>
    <xf numFmtId="37" fontId="57" fillId="35" borderId="0" xfId="0" applyNumberFormat="1" applyFont="1" applyFill="1" applyBorder="1" applyAlignment="1">
      <alignment horizontal="center" vertical="center"/>
    </xf>
    <xf numFmtId="37" fontId="32" fillId="41" borderId="0" xfId="0" applyNumberFormat="1" applyFont="1" applyFill="1" applyBorder="1" applyAlignment="1">
      <alignment horizontal="center" vertical="center"/>
    </xf>
    <xf numFmtId="37" fontId="53" fillId="41" borderId="0" xfId="0" applyNumberFormat="1" applyFont="1" applyFill="1" applyBorder="1" applyAlignment="1">
      <alignment vertical="center"/>
    </xf>
    <xf numFmtId="37" fontId="62" fillId="37" borderId="79" xfId="0" applyNumberFormat="1" applyFont="1" applyFill="1" applyBorder="1" applyAlignment="1">
      <alignment vertical="center"/>
    </xf>
    <xf numFmtId="185" fontId="32" fillId="41" borderId="79" xfId="52" applyNumberFormat="1" applyFont="1" applyFill="1" applyBorder="1" applyAlignment="1">
      <alignment horizontal="right" vertical="center"/>
    </xf>
    <xf numFmtId="39" fontId="32" fillId="37" borderId="18" xfId="0" applyNumberFormat="1" applyFont="1" applyFill="1" applyBorder="1" applyAlignment="1">
      <alignment vertical="center"/>
    </xf>
    <xf numFmtId="39" fontId="32" fillId="37" borderId="59" xfId="0" applyNumberFormat="1" applyFont="1" applyFill="1" applyBorder="1" applyAlignment="1">
      <alignment vertical="center"/>
    </xf>
    <xf numFmtId="39" fontId="52" fillId="37" borderId="78" xfId="0" applyNumberFormat="1" applyFont="1" applyFill="1" applyBorder="1" applyAlignment="1">
      <alignment vertical="center"/>
    </xf>
    <xf numFmtId="39" fontId="53" fillId="37" borderId="78" xfId="0" applyNumberFormat="1" applyFont="1" applyFill="1" applyBorder="1" applyAlignment="1">
      <alignment vertical="center"/>
    </xf>
    <xf numFmtId="39" fontId="53" fillId="37" borderId="79" xfId="0" applyNumberFormat="1" applyFont="1" applyFill="1" applyBorder="1" applyAlignment="1">
      <alignment vertical="center"/>
    </xf>
    <xf numFmtId="37" fontId="32" fillId="37" borderId="59" xfId="0" applyNumberFormat="1" applyFont="1" applyFill="1" applyBorder="1" applyAlignment="1">
      <alignment vertical="center"/>
    </xf>
    <xf numFmtId="39" fontId="52" fillId="36" borderId="78" xfId="0" applyNumberFormat="1" applyFont="1" applyFill="1" applyBorder="1" applyAlignment="1">
      <alignment vertical="center"/>
    </xf>
    <xf numFmtId="37" fontId="175" fillId="46" borderId="0" xfId="0" applyNumberFormat="1" applyFont="1" applyFill="1" applyBorder="1" applyAlignment="1">
      <alignment horizontal="center" vertical="center"/>
    </xf>
    <xf numFmtId="37" fontId="168" fillId="46" borderId="0" xfId="0" applyNumberFormat="1" applyFont="1" applyFill="1" applyBorder="1" applyAlignment="1">
      <alignment vertical="center"/>
    </xf>
    <xf numFmtId="39" fontId="168" fillId="46" borderId="78" xfId="0" applyNumberFormat="1" applyFont="1" applyFill="1" applyBorder="1" applyAlignment="1">
      <alignment vertical="center"/>
    </xf>
    <xf numFmtId="37" fontId="168" fillId="46" borderId="79" xfId="0" applyNumberFormat="1" applyFont="1" applyFill="1" applyBorder="1" applyAlignment="1">
      <alignment vertical="center"/>
    </xf>
    <xf numFmtId="39" fontId="168" fillId="46" borderId="14" xfId="0" applyNumberFormat="1" applyFont="1" applyFill="1" applyBorder="1" applyAlignment="1">
      <alignment horizontal="center" vertical="center"/>
    </xf>
    <xf numFmtId="39" fontId="168" fillId="46" borderId="0" xfId="0" applyNumberFormat="1" applyFont="1" applyFill="1" applyBorder="1" applyAlignment="1">
      <alignment horizontal="center" vertical="center"/>
    </xf>
    <xf numFmtId="0" fontId="168" fillId="46" borderId="79" xfId="0" applyNumberFormat="1" applyFont="1" applyFill="1" applyBorder="1" applyAlignment="1">
      <alignment horizontal="center" vertical="center"/>
    </xf>
    <xf numFmtId="39" fontId="168" fillId="46" borderId="81" xfId="0" applyNumberFormat="1" applyFont="1" applyFill="1" applyBorder="1" applyAlignment="1">
      <alignment vertical="center"/>
    </xf>
    <xf numFmtId="39" fontId="168" fillId="46" borderId="18" xfId="0" applyNumberFormat="1" applyFont="1" applyFill="1" applyBorder="1" applyAlignment="1">
      <alignment vertical="center"/>
    </xf>
    <xf numFmtId="39" fontId="168" fillId="46" borderId="0" xfId="0" applyNumberFormat="1" applyFont="1" applyFill="1" applyBorder="1" applyAlignment="1">
      <alignment vertical="center"/>
    </xf>
    <xf numFmtId="37" fontId="168" fillId="46" borderId="78" xfId="0" applyNumberFormat="1" applyFont="1" applyFill="1" applyBorder="1" applyAlignment="1">
      <alignment vertical="center"/>
    </xf>
    <xf numFmtId="37" fontId="168" fillId="46" borderId="80" xfId="0" applyNumberFormat="1" applyFont="1" applyFill="1" applyBorder="1" applyAlignment="1">
      <alignment vertical="center"/>
    </xf>
    <xf numFmtId="39" fontId="172" fillId="46" borderId="78" xfId="0" applyNumberFormat="1" applyFont="1" applyFill="1" applyBorder="1" applyAlignment="1">
      <alignment vertical="center"/>
    </xf>
    <xf numFmtId="37" fontId="168" fillId="46" borderId="59" xfId="0" applyNumberFormat="1" applyFont="1" applyFill="1" applyBorder="1" applyAlignment="1">
      <alignment vertical="center"/>
    </xf>
    <xf numFmtId="37" fontId="32" fillId="47" borderId="0" xfId="0" applyNumberFormat="1" applyFont="1" applyFill="1" applyBorder="1" applyAlignment="1">
      <alignment horizontal="center" vertical="center"/>
    </xf>
    <xf numFmtId="37" fontId="53" fillId="47" borderId="0" xfId="0" applyNumberFormat="1" applyFont="1" applyFill="1" applyBorder="1" applyAlignment="1">
      <alignment vertical="center" wrapText="1"/>
    </xf>
    <xf numFmtId="37" fontId="62" fillId="47" borderId="79" xfId="0" applyNumberFormat="1" applyFont="1" applyFill="1" applyBorder="1" applyAlignment="1">
      <alignment vertical="center"/>
    </xf>
    <xf numFmtId="174" fontId="32" fillId="47" borderId="79" xfId="0" applyNumberFormat="1" applyFont="1" applyFill="1" applyBorder="1" applyAlignment="1">
      <alignment horizontal="right" vertical="center"/>
    </xf>
    <xf numFmtId="39" fontId="32" fillId="47" borderId="0" xfId="0" applyNumberFormat="1" applyFont="1" applyFill="1" applyBorder="1" applyAlignment="1">
      <alignment horizontal="center" vertical="center" wrapText="1"/>
    </xf>
    <xf numFmtId="39" fontId="52" fillId="47" borderId="78" xfId="0" applyNumberFormat="1" applyFont="1" applyFill="1" applyBorder="1" applyAlignment="1">
      <alignment vertical="center"/>
    </xf>
    <xf numFmtId="39" fontId="53" fillId="47" borderId="78" xfId="0" applyNumberFormat="1" applyFont="1" applyFill="1" applyBorder="1" applyAlignment="1">
      <alignment vertical="center"/>
    </xf>
    <xf numFmtId="39" fontId="53" fillId="47" borderId="79" xfId="0" applyNumberFormat="1" applyFont="1" applyFill="1" applyBorder="1" applyAlignment="1">
      <alignment vertical="center"/>
    </xf>
    <xf numFmtId="37" fontId="32" fillId="47" borderId="59" xfId="0" applyNumberFormat="1" applyFont="1" applyFill="1" applyBorder="1" applyAlignment="1">
      <alignment vertical="center"/>
    </xf>
    <xf numFmtId="39" fontId="53" fillId="47" borderId="0" xfId="0" applyNumberFormat="1" applyFont="1" applyFill="1" applyBorder="1" applyAlignment="1">
      <alignment vertical="center"/>
    </xf>
    <xf numFmtId="37" fontId="62" fillId="35" borderId="79" xfId="0" applyNumberFormat="1" applyFont="1" applyFill="1" applyBorder="1" applyAlignment="1">
      <alignment vertical="center"/>
    </xf>
    <xf numFmtId="174" fontId="32" fillId="35" borderId="79" xfId="0" applyNumberFormat="1" applyFont="1" applyFill="1" applyBorder="1" applyAlignment="1">
      <alignment horizontal="right" vertical="center"/>
    </xf>
    <xf numFmtId="39" fontId="32" fillId="35" borderId="0" xfId="0" applyNumberFormat="1" applyFont="1" applyFill="1" applyBorder="1" applyAlignment="1">
      <alignment horizontal="center" vertical="center" wrapText="1"/>
    </xf>
    <xf numFmtId="39" fontId="32" fillId="47" borderId="0" xfId="0" applyNumberFormat="1" applyFont="1" applyFill="1" applyBorder="1" applyAlignment="1">
      <alignment horizontal="center" vertical="center"/>
    </xf>
    <xf numFmtId="39" fontId="168" fillId="48" borderId="101" xfId="0" applyNumberFormat="1" applyFont="1" applyFill="1" applyBorder="1" applyAlignment="1">
      <alignment vertical="center"/>
    </xf>
    <xf numFmtId="37" fontId="168" fillId="48" borderId="92" xfId="0" applyNumberFormat="1" applyFont="1" applyFill="1" applyBorder="1" applyAlignment="1">
      <alignment vertical="center"/>
    </xf>
    <xf numFmtId="39" fontId="168" fillId="48" borderId="56" xfId="0" applyNumberFormat="1" applyFont="1" applyFill="1" applyBorder="1" applyAlignment="1">
      <alignment horizontal="center" vertical="center"/>
    </xf>
    <xf numFmtId="0" fontId="168" fillId="48" borderId="92" xfId="0" applyNumberFormat="1" applyFont="1" applyFill="1" applyBorder="1" applyAlignment="1">
      <alignment horizontal="center" vertical="center"/>
    </xf>
    <xf numFmtId="39" fontId="168" fillId="48" borderId="102" xfId="0" applyNumberFormat="1" applyFont="1" applyFill="1" applyBorder="1" applyAlignment="1">
      <alignment vertical="center"/>
    </xf>
    <xf numFmtId="39" fontId="168" fillId="48" borderId="103" xfId="0" applyNumberFormat="1" applyFont="1" applyFill="1" applyBorder="1" applyAlignment="1">
      <alignment vertical="center"/>
    </xf>
    <xf numFmtId="39" fontId="168" fillId="48" borderId="56" xfId="0" applyNumberFormat="1" applyFont="1" applyFill="1" applyBorder="1" applyAlignment="1">
      <alignment vertical="center"/>
    </xf>
    <xf numFmtId="37" fontId="168" fillId="48" borderId="101" xfId="0" applyNumberFormat="1" applyFont="1" applyFill="1" applyBorder="1" applyAlignment="1">
      <alignment vertical="center"/>
    </xf>
    <xf numFmtId="37" fontId="168" fillId="48" borderId="93" xfId="0" applyNumberFormat="1" applyFont="1" applyFill="1" applyBorder="1" applyAlignment="1">
      <alignment vertical="center"/>
    </xf>
    <xf numFmtId="39" fontId="172" fillId="48" borderId="101" xfId="0" applyNumberFormat="1" applyFont="1" applyFill="1" applyBorder="1" applyAlignment="1">
      <alignment vertical="center"/>
    </xf>
    <xf numFmtId="37" fontId="168" fillId="48" borderId="60" xfId="0" applyNumberFormat="1" applyFont="1" applyFill="1" applyBorder="1" applyAlignment="1">
      <alignment vertical="center"/>
    </xf>
    <xf numFmtId="39" fontId="168" fillId="48" borderId="0" xfId="0" applyNumberFormat="1" applyFont="1" applyFill="1" applyBorder="1" applyAlignment="1">
      <alignment vertical="center"/>
    </xf>
    <xf numFmtId="37" fontId="59" fillId="35" borderId="0" xfId="0" applyNumberFormat="1" applyFont="1" applyFill="1" applyBorder="1" applyAlignment="1">
      <alignment vertical="center"/>
    </xf>
    <xf numFmtId="39" fontId="57" fillId="35" borderId="0" xfId="0" applyNumberFormat="1" applyFont="1" applyFill="1" applyBorder="1" applyAlignment="1">
      <alignment vertical="center"/>
    </xf>
    <xf numFmtId="39" fontId="60" fillId="35" borderId="0" xfId="0" applyNumberFormat="1" applyFont="1" applyFill="1" applyBorder="1" applyAlignment="1">
      <alignment vertical="center"/>
    </xf>
    <xf numFmtId="39" fontId="58" fillId="36" borderId="0" xfId="0" applyNumberFormat="1" applyFont="1" applyFill="1" applyBorder="1" applyAlignment="1">
      <alignment vertical="center"/>
    </xf>
    <xf numFmtId="177" fontId="32" fillId="35" borderId="0" xfId="0" applyNumberFormat="1" applyFont="1" applyFill="1" applyBorder="1" applyAlignment="1">
      <alignment vertical="center"/>
    </xf>
    <xf numFmtId="39" fontId="32" fillId="37" borderId="23" xfId="0" applyNumberFormat="1" applyFont="1" applyFill="1" applyBorder="1" applyAlignment="1">
      <alignment horizontal="center" vertical="center" wrapText="1"/>
    </xf>
    <xf numFmtId="37" fontId="32" fillId="47" borderId="14" xfId="0" applyNumberFormat="1" applyFont="1" applyFill="1" applyBorder="1" applyAlignment="1">
      <alignment horizontal="center" vertical="center"/>
    </xf>
    <xf numFmtId="39" fontId="53" fillId="44" borderId="104" xfId="0" applyNumberFormat="1" applyFont="1" applyFill="1" applyBorder="1" applyAlignment="1">
      <alignment horizontal="center" vertical="center"/>
    </xf>
    <xf numFmtId="39" fontId="53" fillId="44" borderId="105" xfId="0" applyNumberFormat="1" applyFont="1" applyFill="1" applyBorder="1" applyAlignment="1">
      <alignment horizontal="center" vertical="center"/>
    </xf>
    <xf numFmtId="37" fontId="53" fillId="44" borderId="106" xfId="0" applyNumberFormat="1" applyFont="1" applyFill="1" applyBorder="1" applyAlignment="1">
      <alignment horizontal="center" vertical="center"/>
    </xf>
    <xf numFmtId="37" fontId="57" fillId="30" borderId="107" xfId="0" applyNumberFormat="1" applyFont="1" applyFill="1" applyBorder="1" applyAlignment="1">
      <alignment vertical="center"/>
    </xf>
    <xf numFmtId="37" fontId="57" fillId="30" borderId="108" xfId="0" applyNumberFormat="1" applyFont="1" applyFill="1" applyBorder="1" applyAlignment="1">
      <alignment horizontal="center" vertical="center"/>
    </xf>
    <xf numFmtId="37" fontId="32" fillId="30" borderId="108" xfId="0" applyNumberFormat="1" applyFont="1" applyFill="1" applyBorder="1" applyAlignment="1">
      <alignment horizontal="center" vertical="center"/>
    </xf>
    <xf numFmtId="37" fontId="57" fillId="44" borderId="109" xfId="0" applyNumberFormat="1" applyFont="1" applyFill="1" applyBorder="1" applyAlignment="1">
      <alignment vertical="center"/>
    </xf>
    <xf numFmtId="37" fontId="53" fillId="36" borderId="110" xfId="0" applyNumberFormat="1" applyFont="1" applyFill="1" applyBorder="1" applyAlignment="1">
      <alignment vertical="center"/>
    </xf>
    <xf numFmtId="37" fontId="32" fillId="35" borderId="111" xfId="0" applyNumberFormat="1" applyFont="1" applyFill="1" applyBorder="1" applyAlignment="1">
      <alignment horizontal="center" vertical="center"/>
    </xf>
    <xf numFmtId="37" fontId="54" fillId="35" borderId="109" xfId="0" applyNumberFormat="1" applyFont="1" applyFill="1" applyBorder="1" applyAlignment="1">
      <alignment vertical="center"/>
    </xf>
    <xf numFmtId="37" fontId="32" fillId="35" borderId="112" xfId="0" applyNumberFormat="1" applyFont="1" applyFill="1" applyBorder="1" applyAlignment="1">
      <alignment horizontal="center" vertical="center"/>
    </xf>
    <xf numFmtId="37" fontId="54" fillId="4" borderId="109" xfId="0" applyNumberFormat="1" applyFont="1" applyFill="1" applyBorder="1" applyAlignment="1">
      <alignment vertical="center"/>
    </xf>
    <xf numFmtId="39" fontId="32" fillId="4" borderId="112" xfId="0" applyNumberFormat="1" applyFont="1" applyFill="1" applyBorder="1" applyAlignment="1">
      <alignment horizontal="center" vertical="center"/>
    </xf>
    <xf numFmtId="37" fontId="54" fillId="36" borderId="109" xfId="0" applyNumberFormat="1" applyFont="1" applyFill="1" applyBorder="1" applyAlignment="1">
      <alignment vertical="center"/>
    </xf>
    <xf numFmtId="39" fontId="32" fillId="35" borderId="112" xfId="0" applyNumberFormat="1" applyFont="1" applyFill="1" applyBorder="1" applyAlignment="1">
      <alignment horizontal="center" vertical="center"/>
    </xf>
    <xf numFmtId="39" fontId="32" fillId="4" borderId="112" xfId="0" applyNumberFormat="1" applyFont="1" applyFill="1" applyBorder="1" applyAlignment="1" quotePrefix="1">
      <alignment horizontal="center" vertical="center" wrapText="1"/>
    </xf>
    <xf numFmtId="37" fontId="32" fillId="4" borderId="112" xfId="0" applyNumberFormat="1" applyFont="1" applyFill="1" applyBorder="1" applyAlignment="1">
      <alignment horizontal="center" vertical="center"/>
    </xf>
    <xf numFmtId="37" fontId="166" fillId="36" borderId="113" xfId="0" applyNumberFormat="1" applyFont="1" applyFill="1" applyBorder="1" applyAlignment="1">
      <alignment vertical="center"/>
    </xf>
    <xf numFmtId="39" fontId="164" fillId="36" borderId="114" xfId="0" applyNumberFormat="1" applyFont="1" applyFill="1" applyBorder="1" applyAlignment="1">
      <alignment horizontal="center" vertical="center"/>
    </xf>
    <xf numFmtId="39" fontId="32" fillId="4" borderId="112" xfId="0" applyNumberFormat="1" applyFont="1" applyFill="1" applyBorder="1" applyAlignment="1" quotePrefix="1">
      <alignment horizontal="center" vertical="center"/>
    </xf>
    <xf numFmtId="39" fontId="63" fillId="36" borderId="112" xfId="0" applyNumberFormat="1" applyFont="1" applyFill="1" applyBorder="1" applyAlignment="1">
      <alignment horizontal="center" vertical="center"/>
    </xf>
    <xf numFmtId="37" fontId="163" fillId="4" borderId="109" xfId="0" applyNumberFormat="1" applyFont="1" applyFill="1" applyBorder="1" applyAlignment="1">
      <alignment horizontal="center" vertical="center"/>
    </xf>
    <xf numFmtId="174" fontId="32" fillId="35" borderId="112" xfId="0" applyNumberFormat="1" applyFont="1" applyFill="1" applyBorder="1" applyAlignment="1">
      <alignment horizontal="center" vertical="center"/>
    </xf>
    <xf numFmtId="39" fontId="168" fillId="10" borderId="112" xfId="0" applyNumberFormat="1" applyFont="1" applyFill="1" applyBorder="1" applyAlignment="1">
      <alignment horizontal="center" vertical="center"/>
    </xf>
    <xf numFmtId="37" fontId="176" fillId="35" borderId="109" xfId="0" applyNumberFormat="1" applyFont="1" applyFill="1" applyBorder="1" applyAlignment="1">
      <alignment vertical="center"/>
    </xf>
    <xf numFmtId="39" fontId="169" fillId="35" borderId="112" xfId="0" applyNumberFormat="1" applyFont="1" applyFill="1" applyBorder="1" applyAlignment="1">
      <alignment horizontal="center" vertical="center"/>
    </xf>
    <xf numFmtId="37" fontId="54" fillId="7" borderId="109" xfId="0" applyNumberFormat="1" applyFont="1" applyFill="1" applyBorder="1" applyAlignment="1">
      <alignment vertical="center"/>
    </xf>
    <xf numFmtId="37" fontId="32" fillId="7" borderId="112" xfId="0" applyNumberFormat="1" applyFont="1" applyFill="1" applyBorder="1" applyAlignment="1">
      <alignment horizontal="center" vertical="center"/>
    </xf>
    <xf numFmtId="37" fontId="175" fillId="13" borderId="109" xfId="0" applyNumberFormat="1" applyFont="1" applyFill="1" applyBorder="1" applyAlignment="1">
      <alignment vertical="center"/>
    </xf>
    <xf numFmtId="39" fontId="168" fillId="13" borderId="112" xfId="0" applyNumberFormat="1" applyFont="1" applyFill="1" applyBorder="1" applyAlignment="1">
      <alignment horizontal="center" vertical="center"/>
    </xf>
    <xf numFmtId="37" fontId="32" fillId="36" borderId="112" xfId="0" applyNumberFormat="1" applyFont="1" applyFill="1" applyBorder="1" applyAlignment="1">
      <alignment horizontal="center" vertical="center"/>
    </xf>
    <xf numFmtId="37" fontId="53" fillId="30" borderId="109" xfId="0" applyNumberFormat="1" applyFont="1" applyFill="1" applyBorder="1" applyAlignment="1">
      <alignment vertical="center"/>
    </xf>
    <xf numFmtId="37" fontId="32" fillId="30" borderId="112" xfId="0" applyNumberFormat="1" applyFont="1" applyFill="1" applyBorder="1" applyAlignment="1">
      <alignment horizontal="center" vertical="center"/>
    </xf>
    <xf numFmtId="37" fontId="32" fillId="35" borderId="109" xfId="0" applyNumberFormat="1" applyFont="1" applyFill="1" applyBorder="1" applyAlignment="1">
      <alignment vertical="center"/>
    </xf>
    <xf numFmtId="37" fontId="166" fillId="35" borderId="113" xfId="0" applyNumberFormat="1" applyFont="1" applyFill="1" applyBorder="1" applyAlignment="1">
      <alignment vertical="center"/>
    </xf>
    <xf numFmtId="39" fontId="164" fillId="35" borderId="114" xfId="0" applyNumberFormat="1" applyFont="1" applyFill="1" applyBorder="1" applyAlignment="1">
      <alignment horizontal="center" vertical="center"/>
    </xf>
    <xf numFmtId="39" fontId="32" fillId="30" borderId="112" xfId="0" applyNumberFormat="1" applyFont="1" applyFill="1" applyBorder="1" applyAlignment="1">
      <alignment horizontal="center" vertical="center"/>
    </xf>
    <xf numFmtId="39" fontId="32" fillId="30" borderId="112" xfId="0" applyNumberFormat="1" applyFont="1" applyFill="1" applyBorder="1" applyAlignment="1">
      <alignment horizontal="center" vertical="center" wrapText="1"/>
    </xf>
    <xf numFmtId="37" fontId="163" fillId="35" borderId="112" xfId="0" applyNumberFormat="1" applyFont="1" applyFill="1" applyBorder="1" applyAlignment="1">
      <alignment horizontal="center" vertical="center"/>
    </xf>
    <xf numFmtId="37" fontId="54" fillId="30" borderId="109" xfId="0" applyNumberFormat="1" applyFont="1" applyFill="1" applyBorder="1" applyAlignment="1">
      <alignment vertical="center"/>
    </xf>
    <xf numFmtId="37" fontId="32" fillId="35" borderId="115" xfId="0" applyNumberFormat="1" applyFont="1" applyFill="1" applyBorder="1" applyAlignment="1">
      <alignment horizontal="center" vertical="center"/>
    </xf>
    <xf numFmtId="37" fontId="163" fillId="30" borderId="109" xfId="0" applyNumberFormat="1" applyFont="1" applyFill="1" applyBorder="1" applyAlignment="1">
      <alignment horizontal="center" vertical="center"/>
    </xf>
    <xf numFmtId="39" fontId="32" fillId="30" borderId="115" xfId="0" applyNumberFormat="1" applyFont="1" applyFill="1" applyBorder="1" applyAlignment="1" quotePrefix="1">
      <alignment horizontal="center" vertical="center"/>
    </xf>
    <xf numFmtId="37" fontId="32" fillId="36" borderId="109" xfId="0" applyNumberFormat="1" applyFont="1" applyFill="1" applyBorder="1" applyAlignment="1">
      <alignment vertical="center"/>
    </xf>
    <xf numFmtId="39" fontId="32" fillId="35" borderId="115" xfId="0" applyNumberFormat="1" applyFont="1" applyFill="1" applyBorder="1" applyAlignment="1">
      <alignment horizontal="center" vertical="center"/>
    </xf>
    <xf numFmtId="37" fontId="32" fillId="36" borderId="115" xfId="0" applyNumberFormat="1" applyFont="1" applyFill="1" applyBorder="1" applyAlignment="1">
      <alignment horizontal="center" vertical="center"/>
    </xf>
    <xf numFmtId="37" fontId="32" fillId="30" borderId="115" xfId="0" applyNumberFormat="1" applyFont="1" applyFill="1" applyBorder="1" applyAlignment="1">
      <alignment horizontal="center" vertical="center"/>
    </xf>
    <xf numFmtId="37" fontId="32" fillId="30" borderId="109" xfId="0" applyNumberFormat="1" applyFont="1" applyFill="1" applyBorder="1" applyAlignment="1">
      <alignment vertical="center"/>
    </xf>
    <xf numFmtId="37" fontId="53" fillId="35" borderId="109" xfId="0" applyNumberFormat="1" applyFont="1" applyFill="1" applyBorder="1" applyAlignment="1">
      <alignment vertical="center"/>
    </xf>
    <xf numFmtId="37" fontId="32" fillId="30" borderId="115" xfId="0" applyNumberFormat="1" applyFont="1" applyFill="1" applyBorder="1" applyAlignment="1">
      <alignment horizontal="center" vertical="center" wrapText="1"/>
    </xf>
    <xf numFmtId="37" fontId="175" fillId="45" borderId="109" xfId="0" applyNumberFormat="1" applyFont="1" applyFill="1" applyBorder="1" applyAlignment="1">
      <alignment vertical="center"/>
    </xf>
    <xf numFmtId="39" fontId="168" fillId="45" borderId="112" xfId="0" applyNumberFormat="1" applyFont="1" applyFill="1" applyBorder="1" applyAlignment="1">
      <alignment horizontal="center" vertical="center"/>
    </xf>
    <xf numFmtId="39" fontId="53" fillId="36" borderId="112" xfId="0" applyNumberFormat="1" applyFont="1" applyFill="1" applyBorder="1" applyAlignment="1">
      <alignment horizontal="center" vertical="center"/>
    </xf>
    <xf numFmtId="37" fontId="57" fillId="35" borderId="109" xfId="0" applyNumberFormat="1" applyFont="1" applyFill="1" applyBorder="1" applyAlignment="1">
      <alignment vertical="center"/>
    </xf>
    <xf numFmtId="37" fontId="53" fillId="41" borderId="109" xfId="0" applyNumberFormat="1" applyFont="1" applyFill="1" applyBorder="1" applyAlignment="1">
      <alignment vertical="center"/>
    </xf>
    <xf numFmtId="39" fontId="32" fillId="37" borderId="112" xfId="0" applyNumberFormat="1" applyFont="1" applyFill="1" applyBorder="1" applyAlignment="1">
      <alignment horizontal="center" vertical="center" wrapText="1"/>
    </xf>
    <xf numFmtId="37" fontId="175" fillId="46" borderId="109" xfId="0" applyNumberFormat="1" applyFont="1" applyFill="1" applyBorder="1" applyAlignment="1">
      <alignment vertical="center"/>
    </xf>
    <xf numFmtId="39" fontId="168" fillId="46" borderId="112" xfId="0" applyNumberFormat="1" applyFont="1" applyFill="1" applyBorder="1" applyAlignment="1">
      <alignment horizontal="center" vertical="center"/>
    </xf>
    <xf numFmtId="37" fontId="57" fillId="36" borderId="109" xfId="0" applyNumberFormat="1" applyFont="1" applyFill="1" applyBorder="1" applyAlignment="1">
      <alignment vertical="center"/>
    </xf>
    <xf numFmtId="37" fontId="53" fillId="47" borderId="109" xfId="0" applyNumberFormat="1" applyFont="1" applyFill="1" applyBorder="1" applyAlignment="1">
      <alignment vertical="center"/>
    </xf>
    <xf numFmtId="37" fontId="32" fillId="47" borderId="112" xfId="0" applyNumberFormat="1" applyFont="1" applyFill="1" applyBorder="1" applyAlignment="1">
      <alignment horizontal="center" vertical="center"/>
    </xf>
    <xf numFmtId="37" fontId="175" fillId="48" borderId="116" xfId="0" applyNumberFormat="1" applyFont="1" applyFill="1" applyBorder="1" applyAlignment="1">
      <alignment vertical="center"/>
    </xf>
    <xf numFmtId="37" fontId="175" fillId="48" borderId="117" xfId="0" applyNumberFormat="1" applyFont="1" applyFill="1" applyBorder="1" applyAlignment="1">
      <alignment horizontal="center" vertical="center"/>
    </xf>
    <xf numFmtId="37" fontId="168" fillId="48" borderId="117" xfId="0" applyNumberFormat="1" applyFont="1" applyFill="1" applyBorder="1" applyAlignment="1">
      <alignment vertical="center"/>
    </xf>
    <xf numFmtId="37" fontId="168" fillId="48" borderId="106" xfId="0" applyNumberFormat="1" applyFont="1" applyFill="1" applyBorder="1" applyAlignment="1">
      <alignment vertical="center"/>
    </xf>
    <xf numFmtId="174" fontId="168" fillId="48" borderId="106" xfId="0" applyNumberFormat="1" applyFont="1" applyFill="1" applyBorder="1" applyAlignment="1">
      <alignment vertical="center"/>
    </xf>
    <xf numFmtId="39" fontId="168" fillId="48" borderId="106" xfId="0" applyNumberFormat="1" applyFont="1" applyFill="1" applyBorder="1" applyAlignment="1">
      <alignment vertical="center"/>
    </xf>
    <xf numFmtId="39" fontId="168" fillId="48" borderId="118" xfId="0" applyNumberFormat="1" applyFont="1" applyFill="1" applyBorder="1" applyAlignment="1">
      <alignment horizontal="center" vertical="center"/>
    </xf>
    <xf numFmtId="39" fontId="168" fillId="48" borderId="119" xfId="0" applyNumberFormat="1" applyFont="1" applyFill="1" applyBorder="1" applyAlignment="1">
      <alignment horizontal="center" vertical="center"/>
    </xf>
    <xf numFmtId="37" fontId="57" fillId="44" borderId="116" xfId="0" applyNumberFormat="1" applyFont="1" applyFill="1" applyBorder="1" applyAlignment="1">
      <alignment vertical="center"/>
    </xf>
    <xf numFmtId="37" fontId="57" fillId="44" borderId="117" xfId="0" applyNumberFormat="1" applyFont="1" applyFill="1" applyBorder="1" applyAlignment="1">
      <alignment horizontal="center" vertical="center"/>
    </xf>
    <xf numFmtId="37" fontId="53" fillId="0" borderId="107" xfId="0" applyNumberFormat="1" applyFont="1" applyFill="1" applyBorder="1" applyAlignment="1">
      <alignment vertical="center"/>
    </xf>
    <xf numFmtId="37" fontId="53" fillId="0" borderId="108" xfId="0" applyNumberFormat="1" applyFont="1" applyFill="1" applyBorder="1" applyAlignment="1">
      <alignment horizontal="center" vertical="center"/>
    </xf>
    <xf numFmtId="37" fontId="53" fillId="0" borderId="108" xfId="0" applyNumberFormat="1" applyFont="1" applyFill="1" applyBorder="1" applyAlignment="1">
      <alignment vertical="center"/>
    </xf>
    <xf numFmtId="37" fontId="32" fillId="35" borderId="108" xfId="0" applyNumberFormat="1" applyFont="1" applyFill="1" applyBorder="1" applyAlignment="1">
      <alignment vertical="center"/>
    </xf>
    <xf numFmtId="172" fontId="32" fillId="35" borderId="108" xfId="52" applyNumberFormat="1" applyFont="1" applyFill="1" applyBorder="1" applyAlignment="1">
      <alignment vertical="center"/>
    </xf>
    <xf numFmtId="37" fontId="32" fillId="35" borderId="108" xfId="0" applyNumberFormat="1" applyFont="1" applyFill="1" applyBorder="1" applyAlignment="1">
      <alignment horizontal="center" vertical="center"/>
    </xf>
    <xf numFmtId="37" fontId="32" fillId="35" borderId="120" xfId="0" applyNumberFormat="1" applyFont="1" applyFill="1" applyBorder="1" applyAlignment="1">
      <alignment horizontal="center" vertical="center"/>
    </xf>
    <xf numFmtId="37" fontId="53" fillId="36" borderId="116" xfId="0" applyNumberFormat="1" applyFont="1" applyFill="1" applyBorder="1" applyAlignment="1">
      <alignment vertical="center"/>
    </xf>
    <xf numFmtId="37" fontId="53" fillId="36" borderId="117" xfId="0" applyNumberFormat="1" applyFont="1" applyFill="1" applyBorder="1" applyAlignment="1">
      <alignment horizontal="center" vertical="center"/>
    </xf>
    <xf numFmtId="37" fontId="53" fillId="36" borderId="117" xfId="0" applyNumberFormat="1" applyFont="1" applyFill="1" applyBorder="1" applyAlignment="1">
      <alignment vertical="center"/>
    </xf>
    <xf numFmtId="37" fontId="32" fillId="36" borderId="117" xfId="0" applyNumberFormat="1" applyFont="1" applyFill="1" applyBorder="1" applyAlignment="1">
      <alignment vertical="center"/>
    </xf>
    <xf numFmtId="37" fontId="32" fillId="35" borderId="117" xfId="0" applyNumberFormat="1" applyFont="1" applyFill="1" applyBorder="1" applyAlignment="1">
      <alignment vertical="center"/>
    </xf>
    <xf numFmtId="37" fontId="32" fillId="35" borderId="117" xfId="0" applyNumberFormat="1" applyFont="1" applyFill="1" applyBorder="1" applyAlignment="1">
      <alignment horizontal="center" vertical="center"/>
    </xf>
    <xf numFmtId="37" fontId="32" fillId="35" borderId="121" xfId="0" applyNumberFormat="1" applyFont="1" applyFill="1" applyBorder="1" applyAlignment="1">
      <alignment horizontal="center" vertical="center"/>
    </xf>
    <xf numFmtId="37" fontId="53" fillId="36" borderId="122" xfId="0" applyNumberFormat="1" applyFont="1" applyFill="1" applyBorder="1" applyAlignment="1">
      <alignment vertical="center"/>
    </xf>
    <xf numFmtId="37" fontId="62" fillId="36" borderId="123" xfId="0" applyNumberFormat="1" applyFont="1" applyFill="1" applyBorder="1" applyAlignment="1">
      <alignment horizontal="center" vertical="center"/>
    </xf>
    <xf numFmtId="37" fontId="53" fillId="44" borderId="117" xfId="0" applyNumberFormat="1" applyFont="1" applyFill="1" applyBorder="1" applyAlignment="1">
      <alignment vertical="center"/>
    </xf>
    <xf numFmtId="37" fontId="32" fillId="36" borderId="123" xfId="0" applyNumberFormat="1" applyFont="1" applyFill="1" applyBorder="1" applyAlignment="1">
      <alignment vertical="center"/>
    </xf>
    <xf numFmtId="37" fontId="32" fillId="36" borderId="96" xfId="0" applyNumberFormat="1" applyFont="1" applyFill="1" applyBorder="1" applyAlignment="1">
      <alignment vertical="center"/>
    </xf>
    <xf numFmtId="37" fontId="53" fillId="36" borderId="96" xfId="0" applyNumberFormat="1" applyFont="1" applyFill="1" applyBorder="1" applyAlignment="1">
      <alignment vertical="center"/>
    </xf>
    <xf numFmtId="37" fontId="169" fillId="36" borderId="96" xfId="0" applyNumberFormat="1" applyFont="1" applyFill="1" applyBorder="1" applyAlignment="1">
      <alignment vertical="center"/>
    </xf>
    <xf numFmtId="37" fontId="32" fillId="36" borderId="107" xfId="0" applyNumberFormat="1" applyFont="1" applyFill="1" applyBorder="1" applyAlignment="1">
      <alignment vertical="center"/>
    </xf>
    <xf numFmtId="37" fontId="32" fillId="35" borderId="120" xfId="0" applyNumberFormat="1" applyFont="1" applyFill="1" applyBorder="1" applyAlignment="1">
      <alignment vertical="center"/>
    </xf>
    <xf numFmtId="37" fontId="32" fillId="36" borderId="104" xfId="0" applyNumberFormat="1" applyFont="1" applyFill="1" applyBorder="1" applyAlignment="1">
      <alignment vertical="center"/>
    </xf>
    <xf numFmtId="37" fontId="32" fillId="35" borderId="124" xfId="0" applyNumberFormat="1" applyFont="1" applyFill="1" applyBorder="1" applyAlignment="1">
      <alignment vertical="center"/>
    </xf>
    <xf numFmtId="39" fontId="32" fillId="35" borderId="104" xfId="0" applyNumberFormat="1" applyFont="1" applyFill="1" applyBorder="1" applyAlignment="1">
      <alignment vertical="center"/>
    </xf>
    <xf numFmtId="39" fontId="32" fillId="4" borderId="104" xfId="0" applyNumberFormat="1" applyFont="1" applyFill="1" applyBorder="1" applyAlignment="1">
      <alignment vertical="center"/>
    </xf>
    <xf numFmtId="39" fontId="32" fillId="4" borderId="124" xfId="0" applyNumberFormat="1" applyFont="1" applyFill="1" applyBorder="1" applyAlignment="1">
      <alignment vertical="center"/>
    </xf>
    <xf numFmtId="39" fontId="32" fillId="36" borderId="104" xfId="0" applyNumberFormat="1" applyFont="1" applyFill="1" applyBorder="1" applyAlignment="1">
      <alignment vertical="center"/>
    </xf>
    <xf numFmtId="39" fontId="32" fillId="35" borderId="124" xfId="0" applyNumberFormat="1" applyFont="1" applyFill="1" applyBorder="1" applyAlignment="1">
      <alignment vertical="center"/>
    </xf>
    <xf numFmtId="39" fontId="164" fillId="36" borderId="125" xfId="0" applyNumberFormat="1" applyFont="1" applyFill="1" applyBorder="1" applyAlignment="1">
      <alignment vertical="center"/>
    </xf>
    <xf numFmtId="39" fontId="164" fillId="36" borderId="126" xfId="0" applyNumberFormat="1" applyFont="1" applyFill="1" applyBorder="1" applyAlignment="1">
      <alignment vertical="center"/>
    </xf>
    <xf numFmtId="39" fontId="165" fillId="36" borderId="125" xfId="0" applyNumberFormat="1" applyFont="1" applyFill="1" applyBorder="1" applyAlignment="1">
      <alignment vertical="center"/>
    </xf>
    <xf numFmtId="39" fontId="63" fillId="36" borderId="104" xfId="0" applyNumberFormat="1" applyFont="1" applyFill="1" applyBorder="1" applyAlignment="1">
      <alignment vertical="center"/>
    </xf>
    <xf numFmtId="39" fontId="63" fillId="36" borderId="124" xfId="0" applyNumberFormat="1" applyFont="1" applyFill="1" applyBorder="1" applyAlignment="1">
      <alignment vertical="center"/>
    </xf>
    <xf numFmtId="174" fontId="32" fillId="36" borderId="124" xfId="0" applyNumberFormat="1" applyFont="1" applyFill="1" applyBorder="1" applyAlignment="1">
      <alignment vertical="center"/>
    </xf>
    <xf numFmtId="39" fontId="168" fillId="10" borderId="104" xfId="0" applyNumberFormat="1" applyFont="1" applyFill="1" applyBorder="1" applyAlignment="1">
      <alignment vertical="center"/>
    </xf>
    <xf numFmtId="39" fontId="168" fillId="10" borderId="124" xfId="0" applyNumberFormat="1" applyFont="1" applyFill="1" applyBorder="1" applyAlignment="1">
      <alignment vertical="center"/>
    </xf>
    <xf numFmtId="39" fontId="169" fillId="35" borderId="104" xfId="0" applyNumberFormat="1" applyFont="1" applyFill="1" applyBorder="1" applyAlignment="1">
      <alignment vertical="center"/>
    </xf>
    <xf numFmtId="39" fontId="169" fillId="35" borderId="124" xfId="0" applyNumberFormat="1" applyFont="1" applyFill="1" applyBorder="1" applyAlignment="1">
      <alignment vertical="center"/>
    </xf>
    <xf numFmtId="39" fontId="32" fillId="7" borderId="104" xfId="0" applyNumberFormat="1" applyFont="1" applyFill="1" applyBorder="1" applyAlignment="1">
      <alignment vertical="center"/>
    </xf>
    <xf numFmtId="39" fontId="32" fillId="7" borderId="124" xfId="0" applyNumberFormat="1" applyFont="1" applyFill="1" applyBorder="1" applyAlignment="1">
      <alignment vertical="center"/>
    </xf>
    <xf numFmtId="39" fontId="168" fillId="13" borderId="104" xfId="0" applyNumberFormat="1" applyFont="1" applyFill="1" applyBorder="1" applyAlignment="1">
      <alignment vertical="center"/>
    </xf>
    <xf numFmtId="39" fontId="168" fillId="13" borderId="124" xfId="0" applyNumberFormat="1" applyFont="1" applyFill="1" applyBorder="1" applyAlignment="1">
      <alignment vertical="center"/>
    </xf>
    <xf numFmtId="37" fontId="32" fillId="36" borderId="124" xfId="0" applyNumberFormat="1" applyFont="1" applyFill="1" applyBorder="1" applyAlignment="1">
      <alignment vertical="center"/>
    </xf>
    <xf numFmtId="39" fontId="32" fillId="30" borderId="104" xfId="0" applyNumberFormat="1" applyFont="1" applyFill="1" applyBorder="1" applyAlignment="1">
      <alignment vertical="center"/>
    </xf>
    <xf numFmtId="39" fontId="32" fillId="30" borderId="124" xfId="0" applyNumberFormat="1" applyFont="1" applyFill="1" applyBorder="1" applyAlignment="1">
      <alignment vertical="center"/>
    </xf>
    <xf numFmtId="39" fontId="164" fillId="35" borderId="125" xfId="0" applyNumberFormat="1" applyFont="1" applyFill="1" applyBorder="1" applyAlignment="1">
      <alignment vertical="center"/>
    </xf>
    <xf numFmtId="39" fontId="164" fillId="35" borderId="126" xfId="0" applyNumberFormat="1" applyFont="1" applyFill="1" applyBorder="1" applyAlignment="1">
      <alignment vertical="center"/>
    </xf>
    <xf numFmtId="39" fontId="163" fillId="35" borderId="104" xfId="0" applyNumberFormat="1" applyFont="1" applyFill="1" applyBorder="1" applyAlignment="1">
      <alignment vertical="center"/>
    </xf>
    <xf numFmtId="37" fontId="163" fillId="35" borderId="124" xfId="0" applyNumberFormat="1" applyFont="1" applyFill="1" applyBorder="1" applyAlignment="1">
      <alignment vertical="center"/>
    </xf>
    <xf numFmtId="37" fontId="32" fillId="0" borderId="104" xfId="0" applyNumberFormat="1" applyFont="1" applyBorder="1" applyAlignment="1">
      <alignment vertical="center"/>
    </xf>
    <xf numFmtId="39" fontId="168" fillId="45" borderId="104" xfId="0" applyNumberFormat="1" applyFont="1" applyFill="1" applyBorder="1" applyAlignment="1">
      <alignment vertical="center"/>
    </xf>
    <xf numFmtId="39" fontId="168" fillId="45" borderId="124" xfId="0" applyNumberFormat="1" applyFont="1" applyFill="1" applyBorder="1" applyAlignment="1">
      <alignment vertical="center"/>
    </xf>
    <xf numFmtId="39" fontId="32" fillId="36" borderId="124" xfId="0" applyNumberFormat="1" applyFont="1" applyFill="1" applyBorder="1" applyAlignment="1">
      <alignment vertical="center"/>
    </xf>
    <xf numFmtId="39" fontId="169" fillId="36" borderId="104" xfId="0" applyNumberFormat="1" applyFont="1" applyFill="1" applyBorder="1" applyAlignment="1">
      <alignment vertical="center"/>
    </xf>
    <xf numFmtId="39" fontId="53" fillId="36" borderId="124" xfId="0" applyNumberFormat="1" applyFont="1" applyFill="1" applyBorder="1" applyAlignment="1">
      <alignment vertical="center"/>
    </xf>
    <xf numFmtId="37" fontId="32" fillId="35" borderId="104" xfId="0" applyNumberFormat="1" applyFont="1" applyFill="1" applyBorder="1" applyAlignment="1">
      <alignment vertical="center"/>
    </xf>
    <xf numFmtId="39" fontId="32" fillId="37" borderId="104" xfId="0" applyNumberFormat="1" applyFont="1" applyFill="1" applyBorder="1" applyAlignment="1">
      <alignment vertical="center"/>
    </xf>
    <xf numFmtId="39" fontId="32" fillId="37" borderId="124" xfId="0" applyNumberFormat="1" applyFont="1" applyFill="1" applyBorder="1" applyAlignment="1">
      <alignment vertical="center"/>
    </xf>
    <xf numFmtId="39" fontId="168" fillId="46" borderId="104" xfId="0" applyNumberFormat="1" applyFont="1" applyFill="1" applyBorder="1" applyAlignment="1">
      <alignment vertical="center"/>
    </xf>
    <xf numFmtId="39" fontId="168" fillId="46" borderId="124" xfId="0" applyNumberFormat="1" applyFont="1" applyFill="1" applyBorder="1" applyAlignment="1">
      <alignment vertical="center"/>
    </xf>
    <xf numFmtId="39" fontId="32" fillId="47" borderId="104" xfId="0" applyNumberFormat="1" applyFont="1" applyFill="1" applyBorder="1" applyAlignment="1">
      <alignment vertical="center"/>
    </xf>
    <xf numFmtId="39" fontId="32" fillId="47" borderId="124" xfId="0" applyNumberFormat="1" applyFont="1" applyFill="1" applyBorder="1" applyAlignment="1">
      <alignment vertical="center"/>
    </xf>
    <xf numFmtId="39" fontId="168" fillId="48" borderId="105" xfId="0" applyNumberFormat="1" applyFont="1" applyFill="1" applyBorder="1" applyAlignment="1">
      <alignment vertical="center"/>
    </xf>
    <xf numFmtId="39" fontId="168" fillId="48" borderId="127" xfId="0" applyNumberFormat="1" applyFont="1" applyFill="1" applyBorder="1" applyAlignment="1">
      <alignment vertical="center"/>
    </xf>
    <xf numFmtId="37" fontId="32" fillId="35" borderId="128" xfId="0" applyNumberFormat="1" applyFont="1" applyFill="1" applyBorder="1" applyAlignment="1">
      <alignment horizontal="center" vertical="center"/>
    </xf>
    <xf numFmtId="37" fontId="32" fillId="35" borderId="129" xfId="0" applyNumberFormat="1" applyFont="1" applyFill="1" applyBorder="1" applyAlignment="1">
      <alignment horizontal="center" vertical="center"/>
    </xf>
    <xf numFmtId="39" fontId="32" fillId="4" borderId="129" xfId="0" applyNumberFormat="1" applyFont="1" applyFill="1" applyBorder="1" applyAlignment="1">
      <alignment horizontal="center" vertical="center"/>
    </xf>
    <xf numFmtId="39" fontId="32" fillId="35" borderId="129" xfId="0" applyNumberFormat="1" applyFont="1" applyFill="1" applyBorder="1" applyAlignment="1">
      <alignment horizontal="center" vertical="center"/>
    </xf>
    <xf numFmtId="39" fontId="32" fillId="4" borderId="129" xfId="0" applyNumberFormat="1" applyFont="1" applyFill="1" applyBorder="1" applyAlignment="1">
      <alignment horizontal="center" vertical="center" wrapText="1"/>
    </xf>
    <xf numFmtId="37" fontId="32" fillId="4" borderId="129" xfId="0" applyNumberFormat="1" applyFont="1" applyFill="1" applyBorder="1" applyAlignment="1">
      <alignment horizontal="center" vertical="center"/>
    </xf>
    <xf numFmtId="39" fontId="164" fillId="36" borderId="130" xfId="0" applyNumberFormat="1" applyFont="1" applyFill="1" applyBorder="1" applyAlignment="1">
      <alignment horizontal="center" vertical="center"/>
    </xf>
    <xf numFmtId="39" fontId="63" fillId="36" borderId="129" xfId="0" applyNumberFormat="1" applyFont="1" applyFill="1" applyBorder="1" applyAlignment="1">
      <alignment horizontal="center" vertical="center"/>
    </xf>
    <xf numFmtId="174" fontId="32" fillId="35" borderId="129" xfId="0" applyNumberFormat="1" applyFont="1" applyFill="1" applyBorder="1" applyAlignment="1">
      <alignment horizontal="center" vertical="center"/>
    </xf>
    <xf numFmtId="39" fontId="168" fillId="10" borderId="129" xfId="0" applyNumberFormat="1" applyFont="1" applyFill="1" applyBorder="1" applyAlignment="1">
      <alignment horizontal="center" vertical="center"/>
    </xf>
    <xf numFmtId="39" fontId="169" fillId="35" borderId="129" xfId="0" applyNumberFormat="1" applyFont="1" applyFill="1" applyBorder="1" applyAlignment="1">
      <alignment horizontal="center" vertical="center"/>
    </xf>
    <xf numFmtId="37" fontId="32" fillId="7" borderId="129" xfId="0" applyNumberFormat="1" applyFont="1" applyFill="1" applyBorder="1" applyAlignment="1">
      <alignment horizontal="center" vertical="center"/>
    </xf>
    <xf numFmtId="39" fontId="168" fillId="13" borderId="129" xfId="0" applyNumberFormat="1" applyFont="1" applyFill="1" applyBorder="1" applyAlignment="1">
      <alignment horizontal="center" vertical="center"/>
    </xf>
    <xf numFmtId="37" fontId="32" fillId="36" borderId="129" xfId="0" applyNumberFormat="1" applyFont="1" applyFill="1" applyBorder="1" applyAlignment="1">
      <alignment horizontal="center" vertical="center"/>
    </xf>
    <xf numFmtId="37" fontId="32" fillId="30" borderId="129" xfId="0" applyNumberFormat="1" applyFont="1" applyFill="1" applyBorder="1" applyAlignment="1">
      <alignment horizontal="center" vertical="center"/>
    </xf>
    <xf numFmtId="39" fontId="164" fillId="35" borderId="130" xfId="0" applyNumberFormat="1" applyFont="1" applyFill="1" applyBorder="1" applyAlignment="1">
      <alignment horizontal="center" vertical="center"/>
    </xf>
    <xf numFmtId="39" fontId="32" fillId="30" borderId="129" xfId="0" applyNumberFormat="1" applyFont="1" applyFill="1" applyBorder="1" applyAlignment="1">
      <alignment horizontal="center" vertical="center"/>
    </xf>
    <xf numFmtId="39" fontId="32" fillId="30" borderId="129" xfId="0" applyNumberFormat="1" applyFont="1" applyFill="1" applyBorder="1" applyAlignment="1">
      <alignment horizontal="center" vertical="center" wrapText="1"/>
    </xf>
    <xf numFmtId="37" fontId="163" fillId="35" borderId="129" xfId="0" applyNumberFormat="1" applyFont="1" applyFill="1" applyBorder="1" applyAlignment="1">
      <alignment horizontal="center" vertical="center"/>
    </xf>
    <xf numFmtId="37" fontId="32" fillId="35" borderId="109" xfId="0" applyNumberFormat="1" applyFont="1" applyFill="1" applyBorder="1" applyAlignment="1">
      <alignment horizontal="center" vertical="center"/>
    </xf>
    <xf numFmtId="39" fontId="32" fillId="35" borderId="109" xfId="0" applyNumberFormat="1" applyFont="1" applyFill="1" applyBorder="1" applyAlignment="1">
      <alignment horizontal="center" vertical="center"/>
    </xf>
    <xf numFmtId="37" fontId="32" fillId="36" borderId="109" xfId="0" applyNumberFormat="1" applyFont="1" applyFill="1" applyBorder="1" applyAlignment="1">
      <alignment horizontal="center" vertical="center"/>
    </xf>
    <xf numFmtId="37" fontId="32" fillId="30" borderId="109" xfId="0" applyNumberFormat="1" applyFont="1" applyFill="1" applyBorder="1" applyAlignment="1">
      <alignment horizontal="center" vertical="center"/>
    </xf>
    <xf numFmtId="37" fontId="32" fillId="30" borderId="109" xfId="0" applyNumberFormat="1" applyFont="1" applyFill="1" applyBorder="1" applyAlignment="1" quotePrefix="1">
      <alignment horizontal="center" vertical="center" wrapText="1"/>
    </xf>
    <xf numFmtId="39" fontId="168" fillId="45" borderId="129" xfId="0" applyNumberFormat="1" applyFont="1" applyFill="1" applyBorder="1" applyAlignment="1">
      <alignment horizontal="center" vertical="center"/>
    </xf>
    <xf numFmtId="39" fontId="53" fillId="36" borderId="129" xfId="0" applyNumberFormat="1" applyFont="1" applyFill="1" applyBorder="1" applyAlignment="1">
      <alignment horizontal="center" vertical="center"/>
    </xf>
    <xf numFmtId="39" fontId="32" fillId="37" borderId="109" xfId="0" applyNumberFormat="1" applyFont="1" applyFill="1" applyBorder="1" applyAlignment="1">
      <alignment horizontal="center" vertical="center" wrapText="1"/>
    </xf>
    <xf numFmtId="39" fontId="168" fillId="46" borderId="129" xfId="0" applyNumberFormat="1" applyFont="1" applyFill="1" applyBorder="1" applyAlignment="1">
      <alignment horizontal="center" vertical="center"/>
    </xf>
    <xf numFmtId="37" fontId="32" fillId="47" borderId="129" xfId="0" applyNumberFormat="1" applyFont="1" applyFill="1" applyBorder="1" applyAlignment="1">
      <alignment horizontal="center" vertical="center"/>
    </xf>
    <xf numFmtId="39" fontId="168" fillId="48" borderId="131" xfId="0" applyNumberFormat="1" applyFont="1" applyFill="1" applyBorder="1" applyAlignment="1">
      <alignment horizontal="center" vertical="center"/>
    </xf>
    <xf numFmtId="37" fontId="32" fillId="30" borderId="112" xfId="0" applyNumberFormat="1" applyFont="1" applyFill="1" applyBorder="1" applyAlignment="1" quotePrefix="1">
      <alignment horizontal="center" vertical="center" wrapText="1"/>
    </xf>
    <xf numFmtId="217" fontId="53" fillId="44" borderId="132" xfId="0" applyNumberFormat="1" applyFont="1" applyFill="1" applyBorder="1" applyAlignment="1">
      <alignment horizontal="center" vertical="center"/>
    </xf>
    <xf numFmtId="217" fontId="53" fillId="44" borderId="133" xfId="0" applyNumberFormat="1" applyFont="1" applyFill="1" applyBorder="1" applyAlignment="1">
      <alignment horizontal="center" vertical="center"/>
    </xf>
    <xf numFmtId="37" fontId="32" fillId="36" borderId="116" xfId="0" applyNumberFormat="1" applyFont="1" applyFill="1" applyBorder="1" applyAlignment="1">
      <alignment vertical="center"/>
    </xf>
    <xf numFmtId="37" fontId="53" fillId="35" borderId="117" xfId="0" applyNumberFormat="1" applyFont="1" applyFill="1" applyBorder="1" applyAlignment="1">
      <alignment vertical="center"/>
    </xf>
    <xf numFmtId="37" fontId="32" fillId="36" borderId="105" xfId="0" applyNumberFormat="1" applyFont="1" applyFill="1" applyBorder="1" applyAlignment="1">
      <alignment vertical="center"/>
    </xf>
    <xf numFmtId="37" fontId="32" fillId="36" borderId="106" xfId="0" applyNumberFormat="1" applyFont="1" applyFill="1" applyBorder="1" applyAlignment="1">
      <alignment vertical="center"/>
    </xf>
    <xf numFmtId="37" fontId="32" fillId="36" borderId="127" xfId="0" applyNumberFormat="1" applyFont="1" applyFill="1" applyBorder="1" applyAlignment="1">
      <alignment vertical="center"/>
    </xf>
    <xf numFmtId="37" fontId="32" fillId="36" borderId="131" xfId="0" applyNumberFormat="1" applyFont="1" applyFill="1" applyBorder="1" applyAlignment="1">
      <alignment horizontal="center" vertical="center"/>
    </xf>
    <xf numFmtId="37" fontId="32" fillId="36" borderId="118" xfId="0" applyNumberFormat="1" applyFont="1" applyFill="1" applyBorder="1" applyAlignment="1">
      <alignment horizontal="center" vertical="center"/>
    </xf>
    <xf numFmtId="37" fontId="32" fillId="36" borderId="119" xfId="0" applyNumberFormat="1" applyFont="1" applyFill="1" applyBorder="1" applyAlignment="1">
      <alignment horizontal="center" vertical="center"/>
    </xf>
    <xf numFmtId="37" fontId="175" fillId="50" borderId="109" xfId="0" applyNumberFormat="1" applyFont="1" applyFill="1" applyBorder="1" applyAlignment="1">
      <alignment vertical="center"/>
    </xf>
    <xf numFmtId="37" fontId="175" fillId="50" borderId="0" xfId="0" applyNumberFormat="1" applyFont="1" applyFill="1" applyBorder="1" applyAlignment="1">
      <alignment horizontal="center" vertical="center"/>
    </xf>
    <xf numFmtId="37" fontId="168" fillId="50" borderId="0" xfId="0" applyNumberFormat="1" applyFont="1" applyFill="1" applyBorder="1" applyAlignment="1">
      <alignment vertical="center"/>
    </xf>
    <xf numFmtId="14" fontId="53" fillId="30" borderId="122" xfId="0" applyNumberFormat="1" applyFont="1" applyFill="1" applyBorder="1" applyAlignment="1">
      <alignment horizontal="center" vertical="center"/>
    </xf>
    <xf numFmtId="14" fontId="53" fillId="30" borderId="123" xfId="0" applyNumberFormat="1" applyFont="1" applyFill="1" applyBorder="1" applyAlignment="1">
      <alignment horizontal="center" vertical="center"/>
    </xf>
    <xf numFmtId="14" fontId="53" fillId="30" borderId="134" xfId="0" applyNumberFormat="1" applyFont="1" applyFill="1" applyBorder="1" applyAlignment="1">
      <alignment horizontal="center" vertical="center"/>
    </xf>
    <xf numFmtId="37" fontId="53" fillId="30" borderId="135" xfId="0" applyNumberFormat="1" applyFont="1" applyFill="1" applyBorder="1" applyAlignment="1">
      <alignment horizontal="center" vertical="center" wrapText="1"/>
    </xf>
    <xf numFmtId="37" fontId="53" fillId="35" borderId="113" xfId="0" applyNumberFormat="1" applyFont="1" applyFill="1" applyBorder="1" applyAlignment="1">
      <alignment horizontal="left" vertical="center" wrapText="1"/>
    </xf>
    <xf numFmtId="37" fontId="53" fillId="35" borderId="91" xfId="0" applyNumberFormat="1" applyFont="1" applyFill="1" applyBorder="1" applyAlignment="1">
      <alignment horizontal="left" vertical="center" wrapText="1"/>
    </xf>
    <xf numFmtId="37" fontId="53" fillId="44" borderId="136" xfId="0" applyNumberFormat="1" applyFont="1" applyFill="1" applyBorder="1" applyAlignment="1">
      <alignment horizontal="center" vertical="center"/>
    </xf>
    <xf numFmtId="37" fontId="53" fillId="44" borderId="127" xfId="0" applyNumberFormat="1" applyFont="1" applyFill="1" applyBorder="1" applyAlignment="1">
      <alignment horizontal="center" vertical="center"/>
    </xf>
    <xf numFmtId="14" fontId="53" fillId="30" borderId="58" xfId="0" applyNumberFormat="1" applyFont="1" applyFill="1" applyBorder="1" applyAlignment="1">
      <alignment horizontal="center" vertical="center" wrapText="1"/>
    </xf>
    <xf numFmtId="14" fontId="53" fillId="30" borderId="59" xfId="0" applyNumberFormat="1" applyFont="1" applyFill="1" applyBorder="1" applyAlignment="1">
      <alignment horizontal="center" vertical="center" wrapText="1"/>
    </xf>
    <xf numFmtId="14" fontId="53" fillId="30" borderId="95" xfId="0" applyNumberFormat="1" applyFont="1" applyFill="1" applyBorder="1" applyAlignment="1">
      <alignment horizontal="center" vertical="center" wrapText="1"/>
    </xf>
    <xf numFmtId="14" fontId="53" fillId="30" borderId="107" xfId="0" applyNumberFormat="1" applyFont="1" applyFill="1" applyBorder="1" applyAlignment="1">
      <alignment horizontal="center" vertical="center"/>
    </xf>
    <xf numFmtId="14" fontId="53" fillId="30" borderId="108" xfId="0" applyNumberFormat="1" applyFont="1" applyFill="1" applyBorder="1" applyAlignment="1">
      <alignment horizontal="center" vertical="center"/>
    </xf>
    <xf numFmtId="14" fontId="53" fillId="30" borderId="120" xfId="0" applyNumberFormat="1" applyFont="1" applyFill="1" applyBorder="1" applyAlignment="1">
      <alignment horizontal="center" vertical="center"/>
    </xf>
    <xf numFmtId="14" fontId="53" fillId="30" borderId="137" xfId="0" applyNumberFormat="1" applyFont="1" applyFill="1" applyBorder="1" applyAlignment="1">
      <alignment horizontal="center" vertical="center"/>
    </xf>
    <xf numFmtId="14" fontId="53" fillId="30" borderId="20" xfId="0" applyNumberFormat="1" applyFont="1" applyFill="1" applyBorder="1" applyAlignment="1">
      <alignment horizontal="center" vertical="center"/>
    </xf>
    <xf numFmtId="14" fontId="53" fillId="30" borderId="138" xfId="0" applyNumberFormat="1" applyFont="1" applyFill="1" applyBorder="1" applyAlignment="1">
      <alignment horizontal="center" vertical="center"/>
    </xf>
    <xf numFmtId="14" fontId="3" fillId="7" borderId="26" xfId="0" applyNumberFormat="1" applyFont="1" applyFill="1" applyBorder="1" applyAlignment="1">
      <alignment horizontal="center" vertical="center"/>
    </xf>
    <xf numFmtId="14" fontId="3" fillId="7" borderId="28" xfId="0" applyNumberFormat="1" applyFont="1" applyFill="1" applyBorder="1" applyAlignment="1">
      <alignment horizontal="center" vertical="center"/>
    </xf>
    <xf numFmtId="0" fontId="4" fillId="7" borderId="0" xfId="0" applyNumberFormat="1" applyFont="1" applyFill="1" applyBorder="1" applyAlignment="1">
      <alignment horizontal="center" vertical="center"/>
    </xf>
    <xf numFmtId="0" fontId="4" fillId="7" borderId="30" xfId="0" applyNumberFormat="1" applyFont="1" applyFill="1" applyBorder="1" applyAlignment="1">
      <alignment horizontal="center" vertical="center"/>
    </xf>
    <xf numFmtId="0" fontId="177" fillId="0" borderId="23" xfId="0" applyNumberFormat="1" applyFont="1" applyFill="1" applyBorder="1" applyAlignment="1">
      <alignment horizontal="left" vertical="center" wrapText="1"/>
    </xf>
    <xf numFmtId="0" fontId="177" fillId="0" borderId="0" xfId="0" applyNumberFormat="1" applyFont="1" applyFill="1" applyBorder="1" applyAlignment="1">
      <alignment horizontal="left" vertical="center" wrapText="1"/>
    </xf>
    <xf numFmtId="0" fontId="23" fillId="35" borderId="13" xfId="0" applyNumberFormat="1" applyFont="1" applyFill="1" applyBorder="1" applyAlignment="1">
      <alignment horizontal="center" vertical="center" wrapText="1"/>
    </xf>
    <xf numFmtId="0" fontId="23" fillId="35" borderId="18" xfId="0" applyNumberFormat="1" applyFont="1" applyFill="1" applyBorder="1" applyAlignment="1">
      <alignment horizontal="center" vertical="center" wrapText="1"/>
    </xf>
    <xf numFmtId="0" fontId="23" fillId="35" borderId="22" xfId="0" applyNumberFormat="1" applyFont="1" applyFill="1" applyBorder="1" applyAlignment="1">
      <alignment horizontal="center" vertical="center" wrapText="1"/>
    </xf>
    <xf numFmtId="0" fontId="23" fillId="35" borderId="13" xfId="46" applyNumberFormat="1" applyFont="1" applyFill="1" applyBorder="1" applyAlignment="1">
      <alignment horizontal="center" vertical="center" wrapText="1"/>
    </xf>
    <xf numFmtId="0" fontId="23" fillId="35" borderId="18" xfId="46" applyNumberFormat="1" applyFont="1" applyFill="1" applyBorder="1" applyAlignment="1">
      <alignment horizontal="center" vertical="center" wrapText="1"/>
    </xf>
    <xf numFmtId="0" fontId="23" fillId="35" borderId="22" xfId="46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/>
    </xf>
    <xf numFmtId="0" fontId="43" fillId="35" borderId="15" xfId="46" applyNumberFormat="1" applyFont="1" applyFill="1" applyBorder="1" applyAlignment="1">
      <alignment horizontal="center" vertical="center" wrapText="1"/>
    </xf>
    <xf numFmtId="0" fontId="43" fillId="35" borderId="16" xfId="46" applyNumberFormat="1" applyFont="1" applyFill="1" applyBorder="1" applyAlignment="1">
      <alignment horizontal="center" vertical="center" wrapText="1"/>
    </xf>
    <xf numFmtId="0" fontId="23" fillId="35" borderId="13" xfId="46" applyNumberFormat="1" applyFont="1" applyFill="1" applyBorder="1" applyAlignment="1">
      <alignment horizontal="center" vertical="center"/>
    </xf>
    <xf numFmtId="0" fontId="23" fillId="35" borderId="18" xfId="46" applyNumberFormat="1" applyFont="1" applyFill="1" applyBorder="1" applyAlignment="1">
      <alignment horizontal="center" vertical="center"/>
    </xf>
    <xf numFmtId="0" fontId="12" fillId="35" borderId="61" xfId="0" applyNumberFormat="1" applyFont="1" applyFill="1" applyBorder="1" applyAlignment="1">
      <alignment horizontal="center" vertical="center" wrapText="1"/>
    </xf>
    <xf numFmtId="0" fontId="12" fillId="35" borderId="44" xfId="0" applyNumberFormat="1" applyFont="1" applyFill="1" applyBorder="1" applyAlignment="1">
      <alignment horizontal="center" vertical="center" wrapText="1"/>
    </xf>
    <xf numFmtId="0" fontId="12" fillId="35" borderId="46" xfId="0" applyNumberFormat="1" applyFont="1" applyFill="1" applyBorder="1" applyAlignment="1">
      <alignment horizontal="center" vertical="center" wrapText="1"/>
    </xf>
    <xf numFmtId="0" fontId="12" fillId="35" borderId="139" xfId="0" applyNumberFormat="1" applyFont="1" applyFill="1" applyBorder="1" applyAlignment="1">
      <alignment horizontal="center" vertical="center"/>
    </xf>
    <xf numFmtId="0" fontId="12" fillId="35" borderId="140" xfId="0" applyNumberFormat="1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horizontal="left" vertical="center" wrapText="1"/>
    </xf>
    <xf numFmtId="37" fontId="2" fillId="0" borderId="14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7" fontId="2" fillId="0" borderId="23" xfId="0" applyNumberFormat="1" applyFont="1" applyBorder="1" applyAlignment="1">
      <alignment horizontal="right" vertical="center" wrapText="1"/>
    </xf>
    <xf numFmtId="37" fontId="2" fillId="0" borderId="0" xfId="0" applyNumberFormat="1" applyFont="1" applyBorder="1" applyAlignment="1">
      <alignment horizontal="right" vertical="center" wrapText="1"/>
    </xf>
    <xf numFmtId="37" fontId="2" fillId="0" borderId="14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3" xfId="0" applyFont="1" applyBorder="1" applyAlignment="1" quotePrefix="1">
      <alignment horizontal="right" vertical="center" wrapText="1"/>
    </xf>
    <xf numFmtId="0" fontId="2" fillId="0" borderId="0" xfId="0" applyFont="1" applyBorder="1" applyAlignment="1" quotePrefix="1">
      <alignment horizontal="right" vertical="center" wrapText="1"/>
    </xf>
    <xf numFmtId="0" fontId="2" fillId="0" borderId="14" xfId="0" applyFont="1" applyBorder="1" applyAlignment="1" quotePrefix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37" fontId="2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37" fontId="2" fillId="0" borderId="0" xfId="0" applyNumberFormat="1" applyFont="1" applyBorder="1" applyAlignment="1">
      <alignment horizontal="left" vertical="center"/>
    </xf>
    <xf numFmtId="37" fontId="2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37" fontId="2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37" fontId="2" fillId="0" borderId="0" xfId="0" applyNumberFormat="1" applyFont="1" applyBorder="1" applyAlignment="1">
      <alignment horizontal="right" vertical="center"/>
    </xf>
    <xf numFmtId="37" fontId="2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9" fontId="2" fillId="0" borderId="0" xfId="46" applyNumberFormat="1" applyFont="1" applyAlignment="1">
      <alignment horizontal="center" vertical="center"/>
    </xf>
    <xf numFmtId="39" fontId="0" fillId="0" borderId="0" xfId="0" applyNumberFormat="1" applyFont="1" applyFill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2" fillId="0" borderId="23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01"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NVESTIMENTI\Area%20Investimenti\09%20Bilancio\171231%20Bilancio%2012_2017\Bilancio%2031-12-16\Ufficio%20Investimenti\Ricevuta\16.12.31%20-%20Portafoglio%20Partecipazioni%20e%20Tabelle%20Nota%20Integrat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NVESTIMENTI\Area%20Investimenti\02%20Gestione\Part.%20Veneto%20Sviluppo\Ital%20TBS%20Group\Ital%20TBS%20mandato%20140603%20-%20Vendite%202017%20e%20adesione%20OPA%20Ital%20TB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ettaglio PN - Info per N.I."/>
      <sheetName val="Variazioni di valore IAS-IFRS"/>
      <sheetName val="Certificati c terzi"/>
      <sheetName val="A.3.1"/>
      <sheetName val="A.3.2"/>
      <sheetName val="A.4.5.1"/>
      <sheetName val="A.4.5.2"/>
      <sheetName val="A.4.5.3"/>
      <sheetName val="A.4.5.4"/>
      <sheetName val="FAIR VALUE 3.1 3.2"/>
      <sheetName val="FAIR VALUE 3.3"/>
      <sheetName val="AFS 4.1"/>
      <sheetName val="AFS Mercati"/>
      <sheetName val="AFS 4.2"/>
      <sheetName val="AFS 4.2.1"/>
      <sheetName val="AFS 4.3"/>
      <sheetName val="PARTECIPAZIONI 9.1"/>
      <sheetName val="PARTECIPAZIONI 9.2"/>
      <sheetName val="PARTECIPAZIONI 9.3"/>
      <sheetName val="PARTECIPAZIONI 9.4"/>
      <sheetName val="NON-CORR 13.1"/>
      <sheetName val="NON-CORR_PART 13.1.1"/>
      <sheetName val="PASS-NON-CORR 13.2"/>
      <sheetName val="MERCH E.1"/>
      <sheetName val="MERCH E.2"/>
      <sheetName val="MERCH E.3"/>
      <sheetName val="PART H.3.1"/>
      <sheetName val="PART H.3.2"/>
      <sheetName val="PART H.3.2.2"/>
      <sheetName val="val.nom.x sistema commissionale"/>
      <sheetName val="voce 130"/>
    </sheetNames>
    <sheetDataSet>
      <sheetData sheetId="0">
        <row r="10">
          <cell r="D10" t="str">
            <v>Adaptica S.r.l.</v>
          </cell>
          <cell r="K10">
            <v>15</v>
          </cell>
        </row>
        <row r="12">
          <cell r="D12" t="str">
            <v>Cielle S.r.l.</v>
          </cell>
          <cell r="K12" t="str">
            <v>04/16</v>
          </cell>
        </row>
        <row r="14">
          <cell r="D14" t="str">
            <v>Develon S.r.l.</v>
          </cell>
          <cell r="K14">
            <v>15</v>
          </cell>
        </row>
        <row r="16">
          <cell r="K16">
            <v>15</v>
          </cell>
        </row>
        <row r="18">
          <cell r="D18" t="str">
            <v>Interplanet S.r.l.</v>
          </cell>
          <cell r="K18">
            <v>15</v>
          </cell>
        </row>
        <row r="20">
          <cell r="D20" t="str">
            <v>Neurimpulse S.r.l.</v>
          </cell>
          <cell r="K20">
            <v>15</v>
          </cell>
        </row>
        <row r="22">
          <cell r="K22">
            <v>15</v>
          </cell>
        </row>
        <row r="24">
          <cell r="D24" t="str">
            <v>OTS S.r.l.</v>
          </cell>
        </row>
        <row r="26">
          <cell r="K26">
            <v>15</v>
          </cell>
        </row>
        <row r="28">
          <cell r="K28">
            <v>15</v>
          </cell>
        </row>
        <row r="30">
          <cell r="D30" t="str">
            <v>Xeptagen S.p.A.</v>
          </cell>
          <cell r="K30">
            <v>15</v>
          </cell>
        </row>
        <row r="32">
          <cell r="D32" t="str">
            <v>Zen Fonderie S.r.l.</v>
          </cell>
          <cell r="K32" t="str">
            <v>15</v>
          </cell>
        </row>
        <row r="64">
          <cell r="D64" t="str">
            <v>APVS S.r.l.</v>
          </cell>
          <cell r="K64" t="str">
            <v>10/16</v>
          </cell>
        </row>
        <row r="66">
          <cell r="D66" t="str">
            <v>Enrive S.p.A.</v>
          </cell>
          <cell r="K66">
            <v>15</v>
          </cell>
        </row>
        <row r="68">
          <cell r="K68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ssioni 2017"/>
      <sheetName val="cessioni 2015"/>
      <sheetName val="cessioni 2014"/>
      <sheetName val="Controprova Antonio"/>
      <sheetName val="Svalutazioni"/>
      <sheetName val="Dati utili per bil 311215"/>
      <sheetName val="Dati utili per bil 300615"/>
      <sheetName val="Dati utili per bil 311214"/>
      <sheetName val="Dati utili per bil 300614"/>
      <sheetName val="Scom Costo Fondo"/>
    </sheetNames>
    <sheetDataSet>
      <sheetData sheetId="0">
        <row r="81">
          <cell r="J81">
            <v>-215481.6</v>
          </cell>
        </row>
        <row r="83">
          <cell r="J83">
            <v>-259355.36000000002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1:BR137"/>
  <sheetViews>
    <sheetView tabSelected="1" zoomScale="80" zoomScaleNormal="80" zoomScaleSheetLayoutView="40" workbookViewId="0" topLeftCell="A1">
      <pane xSplit="4" ySplit="7" topLeftCell="E5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40" sqref="D40"/>
    </sheetView>
  </sheetViews>
  <sheetFormatPr defaultColWidth="13.421875" defaultRowHeight="12.75"/>
  <cols>
    <col min="1" max="1" width="3.57421875" style="1179" customWidth="1"/>
    <col min="2" max="2" width="5.7109375" style="1179" customWidth="1"/>
    <col min="3" max="3" width="5.7109375" style="1382" customWidth="1"/>
    <col min="4" max="4" width="71.28125" style="1179" customWidth="1"/>
    <col min="5" max="5" width="19.421875" style="1179" bestFit="1" customWidth="1"/>
    <col min="6" max="6" width="16.28125" style="1179" bestFit="1" customWidth="1"/>
    <col min="7" max="7" width="16.00390625" style="1179" bestFit="1" customWidth="1"/>
    <col min="8" max="8" width="9.421875" style="1179" bestFit="1" customWidth="1"/>
    <col min="9" max="9" width="20.7109375" style="1179" bestFit="1" customWidth="1"/>
    <col min="10" max="10" width="18.7109375" style="1382" bestFit="1" customWidth="1"/>
    <col min="11" max="12" width="14.421875" style="1382" customWidth="1"/>
    <col min="13" max="13" width="18.140625" style="1382" hidden="1" customWidth="1"/>
    <col min="14" max="15" width="26.57421875" style="1382" hidden="1" customWidth="1"/>
    <col min="16" max="16" width="18.140625" style="1174" hidden="1" customWidth="1"/>
    <col min="17" max="17" width="7.7109375" style="1175" hidden="1" customWidth="1"/>
    <col min="18" max="21" width="16.28125" style="1178" hidden="1" customWidth="1"/>
    <col min="22" max="22" width="14.421875" style="1444" hidden="1" customWidth="1"/>
    <col min="23" max="23" width="16.00390625" style="1444" hidden="1" customWidth="1"/>
    <col min="24" max="25" width="14.421875" style="1444" hidden="1" customWidth="1"/>
    <col min="26" max="26" width="21.7109375" style="1178" hidden="1" customWidth="1"/>
    <col min="27" max="27" width="10.421875" style="1178" hidden="1" customWidth="1"/>
    <col min="28" max="28" width="15.7109375" style="1179" hidden="1" customWidth="1"/>
    <col min="29" max="29" width="17.7109375" style="1387" hidden="1" customWidth="1"/>
    <col min="30" max="34" width="14.7109375" style="1179" hidden="1" customWidth="1"/>
    <col min="35" max="35" width="22.28125" style="1179" hidden="1" customWidth="1"/>
    <col min="36" max="38" width="14.7109375" style="1179" hidden="1" customWidth="1"/>
    <col min="39" max="39" width="17.7109375" style="1388" hidden="1" customWidth="1"/>
    <col min="40" max="40" width="22.57421875" style="1179" hidden="1" customWidth="1"/>
    <col min="41" max="41" width="18.7109375" style="1179" hidden="1" customWidth="1"/>
    <col min="42" max="42" width="14.00390625" style="1179" hidden="1" customWidth="1"/>
    <col min="43" max="43" width="14.421875" style="1179" hidden="1" customWidth="1"/>
    <col min="44" max="44" width="14.7109375" style="1179" hidden="1" customWidth="1"/>
    <col min="45" max="45" width="32.7109375" style="1179" hidden="1" customWidth="1"/>
    <col min="46" max="46" width="32.57421875" style="1179" hidden="1" customWidth="1"/>
    <col min="47" max="47" width="13.421875" style="1179" hidden="1" customWidth="1"/>
    <col min="48" max="48" width="14.8515625" style="1179" hidden="1" customWidth="1"/>
    <col min="49" max="69" width="13.421875" style="1179" customWidth="1"/>
    <col min="70" max="70" width="15.28125" style="1179" customWidth="1"/>
    <col min="71" max="73" width="13.421875" style="1179" customWidth="1"/>
    <col min="74" max="16384" width="13.421875" style="1179" customWidth="1"/>
  </cols>
  <sheetData>
    <row r="1" spans="18:41" ht="13.5" thickBot="1">
      <c r="R1" s="1176"/>
      <c r="S1" s="1177"/>
      <c r="T1" s="1177"/>
      <c r="U1" s="1177"/>
      <c r="V1" s="1383"/>
      <c r="W1" s="1384"/>
      <c r="X1" s="1384"/>
      <c r="Y1" s="1385"/>
      <c r="Z1" s="1386"/>
      <c r="AO1" s="1389"/>
    </row>
    <row r="2" spans="2:41" ht="30.75" customHeight="1" thickTop="1">
      <c r="B2" s="1801" t="s">
        <v>768</v>
      </c>
      <c r="C2" s="1802"/>
      <c r="D2" s="1803"/>
      <c r="E2" s="1804"/>
      <c r="F2" s="1804"/>
      <c r="G2" s="1805"/>
      <c r="H2" s="1804"/>
      <c r="I2" s="1804"/>
      <c r="J2" s="1806"/>
      <c r="K2" s="1806"/>
      <c r="L2" s="1807"/>
      <c r="M2" s="1390"/>
      <c r="N2" s="1390"/>
      <c r="O2" s="1390"/>
      <c r="P2" s="1180"/>
      <c r="Q2" s="1181"/>
      <c r="R2" s="1182"/>
      <c r="S2" s="1182"/>
      <c r="T2" s="1182"/>
      <c r="U2" s="1182"/>
      <c r="V2" s="1391"/>
      <c r="W2" s="1391"/>
      <c r="X2" s="1391"/>
      <c r="Y2" s="1392"/>
      <c r="Z2" s="1391"/>
      <c r="AA2" s="1180"/>
      <c r="AB2" s="1180"/>
      <c r="AC2" s="1393"/>
      <c r="AD2" s="1180"/>
      <c r="AE2" s="1180"/>
      <c r="AF2" s="1180"/>
      <c r="AG2" s="1180"/>
      <c r="AH2" s="1180"/>
      <c r="AI2" s="1180"/>
      <c r="AJ2" s="1180"/>
      <c r="AK2" s="1180"/>
      <c r="AL2" s="1180"/>
      <c r="AM2" s="1394"/>
      <c r="AN2" s="1180"/>
      <c r="AO2" s="1395"/>
    </row>
    <row r="3" spans="2:44" ht="24" customHeight="1" thickBot="1">
      <c r="B3" s="1808" t="s">
        <v>470</v>
      </c>
      <c r="C3" s="1809"/>
      <c r="D3" s="1810"/>
      <c r="E3" s="1811"/>
      <c r="F3" s="1812"/>
      <c r="G3" s="1812"/>
      <c r="H3" s="1812"/>
      <c r="I3" s="1812"/>
      <c r="J3" s="1813"/>
      <c r="K3" s="1813"/>
      <c r="L3" s="1814"/>
      <c r="M3" s="1381"/>
      <c r="N3" s="1381"/>
      <c r="O3" s="1381"/>
      <c r="P3" s="1183"/>
      <c r="Q3" s="1184"/>
      <c r="R3" s="1177"/>
      <c r="S3" s="1177"/>
      <c r="T3" s="1177"/>
      <c r="U3" s="1177"/>
      <c r="V3" s="1177"/>
      <c r="W3" s="1177"/>
      <c r="X3" s="1177"/>
      <c r="Y3" s="1177"/>
      <c r="Z3" s="1177"/>
      <c r="AA3" s="1185"/>
      <c r="AB3" s="1185"/>
      <c r="AC3" s="1396"/>
      <c r="AD3" s="1185"/>
      <c r="AE3" s="1185"/>
      <c r="AF3" s="1185"/>
      <c r="AG3" s="1185"/>
      <c r="AH3" s="1185"/>
      <c r="AI3" s="1185"/>
      <c r="AJ3" s="1397"/>
      <c r="AK3" s="1397"/>
      <c r="AL3" s="1185"/>
      <c r="AM3" s="1398"/>
      <c r="AN3" s="1397"/>
      <c r="AO3" s="1399"/>
      <c r="AP3" s="1187"/>
      <c r="AQ3" s="1187"/>
      <c r="AR3" s="1187"/>
    </row>
    <row r="4" spans="2:41" ht="0.75" customHeight="1" thickBot="1">
      <c r="B4" s="1778"/>
      <c r="D4" s="1296"/>
      <c r="E4" s="1822"/>
      <c r="F4" s="1804"/>
      <c r="G4" s="1804"/>
      <c r="H4" s="1804"/>
      <c r="I4" s="1823"/>
      <c r="L4" s="1770"/>
      <c r="V4" s="1400"/>
      <c r="W4" s="1400"/>
      <c r="X4" s="1400"/>
      <c r="Y4" s="1400"/>
      <c r="AA4" s="1186"/>
      <c r="AB4" s="1187"/>
      <c r="AC4" s="1401"/>
      <c r="AE4" s="1187"/>
      <c r="AF4" s="1187"/>
      <c r="AJ4" s="1187"/>
      <c r="AM4" s="1402"/>
      <c r="AO4" s="1403"/>
    </row>
    <row r="5" spans="2:44" ht="26.25" thickTop="1">
      <c r="B5" s="1733"/>
      <c r="C5" s="1734"/>
      <c r="D5" s="1735"/>
      <c r="E5" s="1911">
        <v>43100</v>
      </c>
      <c r="F5" s="1912"/>
      <c r="G5" s="1912"/>
      <c r="H5" s="1912"/>
      <c r="I5" s="1913"/>
      <c r="J5" s="1922" t="s">
        <v>770</v>
      </c>
      <c r="K5" s="1923"/>
      <c r="L5" s="1924"/>
      <c r="M5" s="1405"/>
      <c r="N5" s="1406" t="s">
        <v>738</v>
      </c>
      <c r="O5" s="1919" t="s">
        <v>740</v>
      </c>
      <c r="P5" s="1188" t="s">
        <v>427</v>
      </c>
      <c r="Q5" s="1189" t="s">
        <v>563</v>
      </c>
      <c r="R5" s="1190" t="s">
        <v>428</v>
      </c>
      <c r="S5" s="1191" t="s">
        <v>427</v>
      </c>
      <c r="T5" s="1192" t="s">
        <v>563</v>
      </c>
      <c r="U5" s="1190" t="s">
        <v>428</v>
      </c>
      <c r="V5" s="1407" t="s">
        <v>430</v>
      </c>
      <c r="W5" s="1408" t="s">
        <v>141</v>
      </c>
      <c r="X5" s="1408" t="s">
        <v>142</v>
      </c>
      <c r="Y5" s="1409" t="s">
        <v>142</v>
      </c>
      <c r="Z5" s="1410" t="s">
        <v>431</v>
      </c>
      <c r="AA5" s="1193" t="s">
        <v>142</v>
      </c>
      <c r="AB5" s="1194" t="s">
        <v>143</v>
      </c>
      <c r="AC5" s="1411" t="s">
        <v>146</v>
      </c>
      <c r="AD5" s="1193" t="s">
        <v>545</v>
      </c>
      <c r="AE5" s="1193" t="s">
        <v>546</v>
      </c>
      <c r="AF5" s="1193" t="s">
        <v>549</v>
      </c>
      <c r="AG5" s="1193" t="s">
        <v>550</v>
      </c>
      <c r="AH5" s="1193" t="s">
        <v>418</v>
      </c>
      <c r="AI5" s="1193" t="s">
        <v>547</v>
      </c>
      <c r="AJ5" s="1193" t="s">
        <v>147</v>
      </c>
      <c r="AK5" s="1914" t="s">
        <v>761</v>
      </c>
      <c r="AL5" s="1914"/>
      <c r="AM5" s="1412" t="s">
        <v>146</v>
      </c>
      <c r="AN5" s="1194" t="s">
        <v>419</v>
      </c>
      <c r="AO5" s="1413"/>
      <c r="AP5" s="1414" t="s">
        <v>148</v>
      </c>
      <c r="AQ5" s="1414" t="s">
        <v>149</v>
      </c>
      <c r="AR5" s="1414" t="s">
        <v>149</v>
      </c>
    </row>
    <row r="6" spans="2:44" ht="12.75">
      <c r="B6" s="1736"/>
      <c r="C6" s="1415"/>
      <c r="D6" s="1416" t="s">
        <v>433</v>
      </c>
      <c r="E6" s="1730" t="s">
        <v>421</v>
      </c>
      <c r="F6" s="1417" t="s">
        <v>423</v>
      </c>
      <c r="G6" s="1200" t="s">
        <v>425</v>
      </c>
      <c r="H6" s="1200" t="s">
        <v>426</v>
      </c>
      <c r="I6" s="1917" t="s">
        <v>432</v>
      </c>
      <c r="J6" s="1925"/>
      <c r="K6" s="1926"/>
      <c r="L6" s="1927"/>
      <c r="M6" s="1418" t="s">
        <v>717</v>
      </c>
      <c r="N6" s="1418" t="s">
        <v>721</v>
      </c>
      <c r="O6" s="1920"/>
      <c r="P6" s="1195" t="s">
        <v>528</v>
      </c>
      <c r="Q6" s="1196" t="s">
        <v>562</v>
      </c>
      <c r="R6" s="1197" t="s">
        <v>528</v>
      </c>
      <c r="S6" s="1198" t="s">
        <v>604</v>
      </c>
      <c r="T6" s="1199" t="s">
        <v>562</v>
      </c>
      <c r="U6" s="1197" t="s">
        <v>605</v>
      </c>
      <c r="V6" s="1419" t="s">
        <v>153</v>
      </c>
      <c r="W6" s="1420" t="s">
        <v>154</v>
      </c>
      <c r="X6" s="1420" t="s">
        <v>222</v>
      </c>
      <c r="Y6" s="1421" t="s">
        <v>155</v>
      </c>
      <c r="Z6" s="1422" t="s">
        <v>156</v>
      </c>
      <c r="AA6" s="1200" t="s">
        <v>222</v>
      </c>
      <c r="AB6" s="1201" t="s">
        <v>157</v>
      </c>
      <c r="AC6" s="1423" t="s">
        <v>417</v>
      </c>
      <c r="AD6" s="1200" t="s">
        <v>551</v>
      </c>
      <c r="AE6" s="1200" t="s">
        <v>552</v>
      </c>
      <c r="AF6" s="1200" t="s">
        <v>161</v>
      </c>
      <c r="AG6" s="1200" t="s">
        <v>548</v>
      </c>
      <c r="AH6" s="1200" t="s">
        <v>165</v>
      </c>
      <c r="AI6" s="1200" t="s">
        <v>544</v>
      </c>
      <c r="AJ6" s="1200" t="s">
        <v>162</v>
      </c>
      <c r="AK6" s="1200" t="s">
        <v>163</v>
      </c>
      <c r="AL6" s="1200" t="s">
        <v>164</v>
      </c>
      <c r="AM6" s="1424" t="s">
        <v>417</v>
      </c>
      <c r="AN6" s="1201" t="s">
        <v>166</v>
      </c>
      <c r="AO6" s="1425" t="s">
        <v>420</v>
      </c>
      <c r="AP6" s="1418" t="s">
        <v>167</v>
      </c>
      <c r="AQ6" s="1418" t="s">
        <v>168</v>
      </c>
      <c r="AR6" s="1418" t="s">
        <v>168</v>
      </c>
    </row>
    <row r="7" spans="2:44" ht="13.5" thickBot="1">
      <c r="B7" s="1799"/>
      <c r="C7" s="1800"/>
      <c r="D7" s="1817"/>
      <c r="E7" s="1731" t="s">
        <v>422</v>
      </c>
      <c r="F7" s="1732" t="s">
        <v>424</v>
      </c>
      <c r="G7" s="1732" t="s">
        <v>416</v>
      </c>
      <c r="H7" s="1732" t="s">
        <v>173</v>
      </c>
      <c r="I7" s="1918"/>
      <c r="J7" s="1898">
        <v>42735</v>
      </c>
      <c r="K7" s="1898">
        <v>42369</v>
      </c>
      <c r="L7" s="1899">
        <v>42004</v>
      </c>
      <c r="M7" s="1426"/>
      <c r="N7" s="1426" t="s">
        <v>722</v>
      </c>
      <c r="O7" s="1921"/>
      <c r="P7" s="1202" t="s">
        <v>429</v>
      </c>
      <c r="Q7" s="1203" t="s">
        <v>530</v>
      </c>
      <c r="R7" s="1204" t="s">
        <v>429</v>
      </c>
      <c r="S7" s="1205" t="s">
        <v>429</v>
      </c>
      <c r="T7" s="1206" t="s">
        <v>530</v>
      </c>
      <c r="U7" s="1204" t="s">
        <v>429</v>
      </c>
      <c r="V7" s="1427" t="s">
        <v>174</v>
      </c>
      <c r="W7" s="1428" t="s">
        <v>531</v>
      </c>
      <c r="X7" s="1428" t="s">
        <v>223</v>
      </c>
      <c r="Y7" s="1429" t="s">
        <v>174</v>
      </c>
      <c r="Z7" s="1430" t="s">
        <v>690</v>
      </c>
      <c r="AA7" s="1207" t="s">
        <v>223</v>
      </c>
      <c r="AB7" s="1208" t="s">
        <v>155</v>
      </c>
      <c r="AC7" s="1431">
        <v>42735</v>
      </c>
      <c r="AD7" s="1432">
        <v>43100</v>
      </c>
      <c r="AE7" s="1432">
        <f>AD7</f>
        <v>43100</v>
      </c>
      <c r="AF7" s="1432">
        <f>AD7</f>
        <v>43100</v>
      </c>
      <c r="AG7" s="1432">
        <f>AD7</f>
        <v>43100</v>
      </c>
      <c r="AH7" s="1433" t="s">
        <v>176</v>
      </c>
      <c r="AI7" s="1432">
        <f>AD7</f>
        <v>43100</v>
      </c>
      <c r="AJ7" s="1432">
        <f>AD7</f>
        <v>43100</v>
      </c>
      <c r="AK7" s="1432">
        <f>AF7</f>
        <v>43100</v>
      </c>
      <c r="AL7" s="1432">
        <f>AD7</f>
        <v>43100</v>
      </c>
      <c r="AM7" s="1432">
        <f>AD7</f>
        <v>43100</v>
      </c>
      <c r="AN7" s="1434" t="s">
        <v>762</v>
      </c>
      <c r="AO7" s="1435"/>
      <c r="AP7" s="1436" t="s">
        <v>177</v>
      </c>
      <c r="AQ7" s="1436" t="s">
        <v>177</v>
      </c>
      <c r="AR7" s="1437" t="s">
        <v>178</v>
      </c>
    </row>
    <row r="8" spans="2:44" ht="18" customHeight="1">
      <c r="B8" s="1815" t="s">
        <v>184</v>
      </c>
      <c r="C8" s="1816"/>
      <c r="D8" s="1818"/>
      <c r="E8" s="1824"/>
      <c r="F8" s="1214"/>
      <c r="G8" s="1214"/>
      <c r="H8" s="1298"/>
      <c r="I8" s="1825"/>
      <c r="J8" s="1867"/>
      <c r="K8" s="1440"/>
      <c r="L8" s="1738"/>
      <c r="P8" s="1209"/>
      <c r="Q8" s="1210"/>
      <c r="R8" s="1211"/>
      <c r="S8" s="1212"/>
      <c r="T8" s="1213"/>
      <c r="V8" s="1439"/>
      <c r="W8" s="1298"/>
      <c r="X8" s="1298"/>
      <c r="Y8" s="1215"/>
      <c r="Z8" s="1441"/>
      <c r="AA8" s="1214"/>
      <c r="AB8" s="1215"/>
      <c r="AC8" s="1297"/>
      <c r="AD8" s="1269"/>
      <c r="AE8" s="1216"/>
      <c r="AF8" s="1236"/>
      <c r="AG8" s="1236"/>
      <c r="AH8" s="1236"/>
      <c r="AI8" s="1236"/>
      <c r="AJ8" s="1442"/>
      <c r="AK8" s="1236"/>
      <c r="AL8" s="1269"/>
      <c r="AM8" s="1216"/>
      <c r="AN8" s="1237"/>
      <c r="AO8" s="1443"/>
      <c r="AP8" s="1174"/>
      <c r="AQ8" s="1174"/>
      <c r="AR8" s="1174"/>
    </row>
    <row r="9" spans="2:44" ht="18" customHeight="1">
      <c r="B9" s="1739" t="s">
        <v>180</v>
      </c>
      <c r="D9" s="1444"/>
      <c r="E9" s="1826"/>
      <c r="F9" s="1214"/>
      <c r="G9" s="1214"/>
      <c r="H9" s="1214"/>
      <c r="I9" s="1825"/>
      <c r="J9" s="1868"/>
      <c r="K9" s="1440"/>
      <c r="L9" s="1740"/>
      <c r="P9" s="1217"/>
      <c r="Q9" s="1210"/>
      <c r="R9" s="1218"/>
      <c r="S9" s="1219"/>
      <c r="T9" s="1220"/>
      <c r="V9" s="1232"/>
      <c r="W9" s="1236"/>
      <c r="X9" s="1236"/>
      <c r="Y9" s="1237"/>
      <c r="Z9" s="1446"/>
      <c r="AA9" s="1214"/>
      <c r="AB9" s="1221"/>
      <c r="AC9" s="1232"/>
      <c r="AD9" s="1236"/>
      <c r="AE9" s="1222"/>
      <c r="AF9" s="1236"/>
      <c r="AG9" s="1236"/>
      <c r="AH9" s="1236"/>
      <c r="AI9" s="1236"/>
      <c r="AJ9" s="1236"/>
      <c r="AK9" s="1236"/>
      <c r="AL9" s="1236"/>
      <c r="AM9" s="1222"/>
      <c r="AN9" s="1237"/>
      <c r="AO9" s="1403"/>
      <c r="AP9" s="1174"/>
      <c r="AQ9" s="1174"/>
      <c r="AR9" s="1174"/>
    </row>
    <row r="10" spans="2:46" ht="16.5" customHeight="1" hidden="1">
      <c r="B10" s="1741"/>
      <c r="C10" s="1447">
        <v>49</v>
      </c>
      <c r="D10" s="1448" t="s">
        <v>497</v>
      </c>
      <c r="E10" s="1827"/>
      <c r="F10" s="1449"/>
      <c r="G10" s="1450"/>
      <c r="H10" s="1229"/>
      <c r="I10" s="1828"/>
      <c r="J10" s="1869"/>
      <c r="K10" s="1451"/>
      <c r="L10" s="1742"/>
      <c r="M10" s="1452"/>
      <c r="N10" s="1452"/>
      <c r="O10" s="1452"/>
      <c r="P10" s="1223"/>
      <c r="Q10" s="1224"/>
      <c r="R10" s="1225"/>
      <c r="S10" s="1226"/>
      <c r="T10" s="1227"/>
      <c r="U10" s="1228"/>
      <c r="V10" s="1223"/>
      <c r="W10" s="1229"/>
      <c r="X10" s="1229"/>
      <c r="Y10" s="1230"/>
      <c r="Z10" s="1453"/>
      <c r="AA10" s="1229"/>
      <c r="AB10" s="1230"/>
      <c r="AC10" s="1454">
        <v>253887.05</v>
      </c>
      <c r="AD10" s="1229"/>
      <c r="AE10" s="1229">
        <v>-500000</v>
      </c>
      <c r="AF10" s="1229">
        <v>246112.95</v>
      </c>
      <c r="AG10" s="1229"/>
      <c r="AH10" s="1229"/>
      <c r="AI10" s="1229"/>
      <c r="AJ10" s="1229"/>
      <c r="AK10" s="1229"/>
      <c r="AL10" s="1229"/>
      <c r="AM10" s="1455">
        <f>SUM(AC10:AL10)</f>
        <v>0</v>
      </c>
      <c r="AN10" s="1456"/>
      <c r="AO10" s="1457"/>
      <c r="AP10" s="1458"/>
      <c r="AQ10" s="1458"/>
      <c r="AR10" s="1459">
        <f>AM10</f>
        <v>0</v>
      </c>
      <c r="AT10" s="1174"/>
    </row>
    <row r="11" spans="2:44" ht="16.5" customHeight="1" hidden="1">
      <c r="B11" s="1743"/>
      <c r="D11" s="1179" t="s">
        <v>676</v>
      </c>
      <c r="E11" s="1829"/>
      <c r="F11" s="1214"/>
      <c r="G11" s="1460"/>
      <c r="H11" s="1298"/>
      <c r="I11" s="1830"/>
      <c r="J11" s="1870"/>
      <c r="K11" s="1461"/>
      <c r="L11" s="1744"/>
      <c r="M11" s="1463"/>
      <c r="N11" s="1463"/>
      <c r="O11" s="1463"/>
      <c r="P11" s="1232"/>
      <c r="Q11" s="1233"/>
      <c r="R11" s="1211"/>
      <c r="S11" s="1234"/>
      <c r="T11" s="1220"/>
      <c r="U11" s="1235"/>
      <c r="V11" s="1232"/>
      <c r="W11" s="1269"/>
      <c r="X11" s="1269"/>
      <c r="Y11" s="1237"/>
      <c r="Z11" s="1441"/>
      <c r="AA11" s="1236"/>
      <c r="AB11" s="1237"/>
      <c r="AC11" s="1297"/>
      <c r="AD11" s="1269"/>
      <c r="AE11" s="1236"/>
      <c r="AF11" s="1236"/>
      <c r="AG11" s="1236"/>
      <c r="AH11" s="1236"/>
      <c r="AI11" s="1269"/>
      <c r="AJ11" s="1236"/>
      <c r="AK11" s="1236"/>
      <c r="AL11" s="1269"/>
      <c r="AM11" s="1236"/>
      <c r="AN11" s="1237"/>
      <c r="AO11" s="1464"/>
      <c r="AP11" s="1174"/>
      <c r="AQ11" s="1174"/>
      <c r="AR11" s="1174"/>
    </row>
    <row r="12" spans="2:46" ht="39.75" customHeight="1">
      <c r="B12" s="1741"/>
      <c r="C12" s="1447">
        <v>62</v>
      </c>
      <c r="D12" s="1448" t="s">
        <v>498</v>
      </c>
      <c r="E12" s="1827">
        <f>(515817.93+163467.14)</f>
        <v>679285.0700000001</v>
      </c>
      <c r="F12" s="1449" t="s">
        <v>183</v>
      </c>
      <c r="G12" s="1450">
        <f>I12/E12</f>
        <v>0.3299999954363784</v>
      </c>
      <c r="H12" s="1229"/>
      <c r="I12" s="1828">
        <f>(60696.93+163467.14)</f>
        <v>224164.07</v>
      </c>
      <c r="J12" s="1872">
        <v>10470</v>
      </c>
      <c r="K12" s="1469">
        <v>51032</v>
      </c>
      <c r="L12" s="1746">
        <v>52122</v>
      </c>
      <c r="M12" s="1238" t="s">
        <v>718</v>
      </c>
      <c r="N12" s="1238" t="s">
        <v>725</v>
      </c>
      <c r="O12" s="1238" t="s">
        <v>739</v>
      </c>
      <c r="P12" s="1223">
        <f>'Dettaglio PN - Info per N.I.'!C32</f>
        <v>2615081</v>
      </c>
      <c r="Q12" s="1239">
        <v>16</v>
      </c>
      <c r="R12" s="1225">
        <f>'Dettaglio PN - Info per N.I.'!E36</f>
        <v>862976.72</v>
      </c>
      <c r="S12" s="1226" t="s">
        <v>606</v>
      </c>
      <c r="T12" s="1240">
        <v>2016</v>
      </c>
      <c r="U12" s="1228" t="s">
        <v>606</v>
      </c>
      <c r="V12" s="1223">
        <f>SUM(W12:Y12)</f>
        <v>2000000.0000000002</v>
      </c>
      <c r="W12" s="1229">
        <f>(60696.93)+(163467.14)</f>
        <v>224164.07</v>
      </c>
      <c r="X12" s="1229">
        <v>0</v>
      </c>
      <c r="Y12" s="1230">
        <f>(539303.07)+(1236532.86)</f>
        <v>1775835.9300000002</v>
      </c>
      <c r="Z12" s="1453">
        <f>V12</f>
        <v>2000000.0000000002</v>
      </c>
      <c r="AA12" s="1229">
        <f>X12</f>
        <v>0</v>
      </c>
      <c r="AB12" s="1230">
        <f>Y12</f>
        <v>1775835.9300000002</v>
      </c>
      <c r="AC12" s="1454">
        <f>+Z12</f>
        <v>2000000.0000000002</v>
      </c>
      <c r="AD12" s="1229"/>
      <c r="AE12" s="1229"/>
      <c r="AF12" s="1229"/>
      <c r="AG12" s="1229"/>
      <c r="AH12" s="1229"/>
      <c r="AI12" s="1229"/>
      <c r="AJ12" s="1229"/>
      <c r="AK12" s="1229"/>
      <c r="AL12" s="1229"/>
      <c r="AM12" s="1455">
        <f>SUM(AC12:AL12)</f>
        <v>2000000.0000000002</v>
      </c>
      <c r="AN12" s="1456"/>
      <c r="AO12" s="1457"/>
      <c r="AP12" s="1459"/>
      <c r="AQ12" s="1459"/>
      <c r="AR12" s="1459">
        <f>AM12</f>
        <v>2000000.0000000002</v>
      </c>
      <c r="AT12" s="1174"/>
    </row>
    <row r="13" spans="2:44" ht="12.75">
      <c r="B13" s="1743"/>
      <c r="D13" s="1231" t="s">
        <v>473</v>
      </c>
      <c r="E13" s="1829"/>
      <c r="F13" s="1214"/>
      <c r="G13" s="1460"/>
      <c r="H13" s="1298"/>
      <c r="I13" s="1830"/>
      <c r="J13" s="1868"/>
      <c r="K13" s="1440"/>
      <c r="L13" s="1740"/>
      <c r="M13" s="1463"/>
      <c r="N13" s="1463"/>
      <c r="O13" s="1463"/>
      <c r="P13" s="1232"/>
      <c r="Q13" s="1241"/>
      <c r="R13" s="1211"/>
      <c r="S13" s="1234"/>
      <c r="T13" s="1220"/>
      <c r="U13" s="1235"/>
      <c r="V13" s="1232"/>
      <c r="W13" s="1269"/>
      <c r="X13" s="1269"/>
      <c r="Y13" s="1237"/>
      <c r="Z13" s="1441"/>
      <c r="AA13" s="1236"/>
      <c r="AB13" s="1237"/>
      <c r="AC13" s="1297"/>
      <c r="AD13" s="1269"/>
      <c r="AE13" s="1236"/>
      <c r="AF13" s="1236"/>
      <c r="AG13" s="1236"/>
      <c r="AH13" s="1236"/>
      <c r="AI13" s="1269"/>
      <c r="AJ13" s="1236"/>
      <c r="AK13" s="1236"/>
      <c r="AL13" s="1269"/>
      <c r="AM13" s="1236"/>
      <c r="AN13" s="1237"/>
      <c r="AO13" s="1464"/>
      <c r="AP13" s="1174"/>
      <c r="AQ13" s="1174"/>
      <c r="AR13" s="1174"/>
    </row>
    <row r="14" spans="2:46" ht="39.75" customHeight="1" hidden="1">
      <c r="B14" s="1741"/>
      <c r="C14" s="1447">
        <v>74</v>
      </c>
      <c r="D14" s="1448" t="s">
        <v>499</v>
      </c>
      <c r="E14" s="1827"/>
      <c r="F14" s="1449"/>
      <c r="G14" s="1450"/>
      <c r="H14" s="1229"/>
      <c r="I14" s="1828"/>
      <c r="J14" s="1872"/>
      <c r="K14" s="1469"/>
      <c r="L14" s="1746"/>
      <c r="M14" s="1238" t="s">
        <v>718</v>
      </c>
      <c r="N14" s="1238"/>
      <c r="O14" s="1238"/>
      <c r="P14" s="1223"/>
      <c r="Q14" s="1242"/>
      <c r="R14" s="1225"/>
      <c r="S14" s="1226"/>
      <c r="T14" s="1227"/>
      <c r="U14" s="1243"/>
      <c r="V14" s="1223"/>
      <c r="W14" s="1229"/>
      <c r="X14" s="1229"/>
      <c r="Y14" s="1230"/>
      <c r="Z14" s="1453"/>
      <c r="AA14" s="1229"/>
      <c r="AB14" s="1230"/>
      <c r="AC14" s="1454">
        <v>1000000</v>
      </c>
      <c r="AD14" s="1229"/>
      <c r="AE14" s="1229">
        <v>-1300000</v>
      </c>
      <c r="AF14" s="1229">
        <v>300000</v>
      </c>
      <c r="AG14" s="1229"/>
      <c r="AH14" s="1229"/>
      <c r="AI14" s="1229"/>
      <c r="AJ14" s="1229"/>
      <c r="AK14" s="1229"/>
      <c r="AL14" s="1229"/>
      <c r="AM14" s="1455">
        <f>SUM(AC14:AL14)</f>
        <v>0</v>
      </c>
      <c r="AN14" s="1456"/>
      <c r="AO14" s="1457"/>
      <c r="AP14" s="1458"/>
      <c r="AQ14" s="1458"/>
      <c r="AR14" s="1459">
        <f>AM14</f>
        <v>0</v>
      </c>
      <c r="AT14" s="1174"/>
    </row>
    <row r="15" spans="2:44" ht="12.75" hidden="1">
      <c r="B15" s="1743"/>
      <c r="D15" s="1179" t="s">
        <v>692</v>
      </c>
      <c r="E15" s="1829"/>
      <c r="F15" s="1214"/>
      <c r="G15" s="1460"/>
      <c r="H15" s="1298"/>
      <c r="I15" s="1825"/>
      <c r="J15" s="1868"/>
      <c r="K15" s="1440"/>
      <c r="L15" s="1740"/>
      <c r="P15" s="1232"/>
      <c r="Q15" s="1241"/>
      <c r="R15" s="1211"/>
      <c r="S15" s="1234"/>
      <c r="T15" s="1220"/>
      <c r="U15" s="1235"/>
      <c r="V15" s="1232"/>
      <c r="W15" s="1269"/>
      <c r="X15" s="1269"/>
      <c r="Y15" s="1237"/>
      <c r="Z15" s="1441"/>
      <c r="AA15" s="1236"/>
      <c r="AB15" s="1237"/>
      <c r="AC15" s="1297"/>
      <c r="AD15" s="1269"/>
      <c r="AE15" s="1236"/>
      <c r="AF15" s="1236"/>
      <c r="AG15" s="1236"/>
      <c r="AH15" s="1236"/>
      <c r="AI15" s="1269"/>
      <c r="AJ15" s="1236"/>
      <c r="AK15" s="1236"/>
      <c r="AL15" s="1269"/>
      <c r="AM15" s="1236"/>
      <c r="AN15" s="1237"/>
      <c r="AO15" s="1464"/>
      <c r="AP15" s="1174"/>
      <c r="AQ15" s="1174"/>
      <c r="AR15" s="1174"/>
    </row>
    <row r="16" spans="2:46" ht="39.75" customHeight="1">
      <c r="B16" s="1741"/>
      <c r="C16" s="1447">
        <v>68</v>
      </c>
      <c r="D16" s="1448" t="s">
        <v>500</v>
      </c>
      <c r="E16" s="1827">
        <v>545455</v>
      </c>
      <c r="F16" s="1449" t="s">
        <v>183</v>
      </c>
      <c r="G16" s="1450">
        <f>I16/E16</f>
        <v>0.4500004583329514</v>
      </c>
      <c r="H16" s="1229"/>
      <c r="I16" s="1828">
        <v>245455</v>
      </c>
      <c r="J16" s="1872">
        <v>88748</v>
      </c>
      <c r="K16" s="1469">
        <v>-14165</v>
      </c>
      <c r="L16" s="1746">
        <v>-83146</v>
      </c>
      <c r="M16" s="1238" t="s">
        <v>718</v>
      </c>
      <c r="N16" s="1238" t="s">
        <v>746</v>
      </c>
      <c r="O16" s="1244" t="s">
        <v>741</v>
      </c>
      <c r="P16" s="1223">
        <f>'Dettaglio PN - Info per N.I.'!C51</f>
        <v>1067142</v>
      </c>
      <c r="Q16" s="1239">
        <v>16</v>
      </c>
      <c r="R16" s="1225">
        <f>'Dettaglio PN - Info per N.I.'!E51</f>
        <v>480214.39</v>
      </c>
      <c r="S16" s="1226" t="s">
        <v>606</v>
      </c>
      <c r="T16" s="1240">
        <v>2016</v>
      </c>
      <c r="U16" s="1228" t="s">
        <v>606</v>
      </c>
      <c r="V16" s="1223">
        <f>SUM(W16:Y16)</f>
        <v>750000</v>
      </c>
      <c r="W16" s="1229">
        <v>245455</v>
      </c>
      <c r="X16" s="1229">
        <v>0</v>
      </c>
      <c r="Y16" s="1230">
        <v>504545</v>
      </c>
      <c r="Z16" s="1453">
        <f>V16</f>
        <v>750000</v>
      </c>
      <c r="AA16" s="1229">
        <f>X16</f>
        <v>0</v>
      </c>
      <c r="AB16" s="1230">
        <f>Y16</f>
        <v>504545</v>
      </c>
      <c r="AC16" s="1454">
        <f>V16</f>
        <v>750000</v>
      </c>
      <c r="AD16" s="1229"/>
      <c r="AE16" s="1229"/>
      <c r="AF16" s="1229"/>
      <c r="AG16" s="1229"/>
      <c r="AH16" s="1229"/>
      <c r="AI16" s="1229"/>
      <c r="AJ16" s="1229"/>
      <c r="AK16" s="1229"/>
      <c r="AL16" s="1229"/>
      <c r="AM16" s="1455">
        <f>SUM(AC16:AL16)</f>
        <v>750000</v>
      </c>
      <c r="AN16" s="1456"/>
      <c r="AO16" s="1457"/>
      <c r="AP16" s="1459"/>
      <c r="AQ16" s="1459"/>
      <c r="AR16" s="1459">
        <f>AM16</f>
        <v>750000</v>
      </c>
      <c r="AT16" s="1174"/>
    </row>
    <row r="17" spans="2:44" ht="12.75">
      <c r="B17" s="1743"/>
      <c r="D17" s="1231" t="s">
        <v>474</v>
      </c>
      <c r="E17" s="1829"/>
      <c r="F17" s="1214"/>
      <c r="G17" s="1460"/>
      <c r="H17" s="1298"/>
      <c r="I17" s="1825"/>
      <c r="J17" s="1868"/>
      <c r="K17" s="1440"/>
      <c r="L17" s="1740"/>
      <c r="P17" s="1232"/>
      <c r="Q17" s="1245"/>
      <c r="R17" s="1211"/>
      <c r="S17" s="1234"/>
      <c r="T17" s="1220"/>
      <c r="U17" s="1235"/>
      <c r="V17" s="1232"/>
      <c r="W17" s="1269"/>
      <c r="X17" s="1269"/>
      <c r="Y17" s="1237"/>
      <c r="Z17" s="1441"/>
      <c r="AA17" s="1236"/>
      <c r="AB17" s="1237"/>
      <c r="AC17" s="1297"/>
      <c r="AD17" s="1269"/>
      <c r="AE17" s="1236"/>
      <c r="AF17" s="1236"/>
      <c r="AG17" s="1236"/>
      <c r="AH17" s="1236"/>
      <c r="AI17" s="1269"/>
      <c r="AJ17" s="1236"/>
      <c r="AK17" s="1236"/>
      <c r="AL17" s="1269"/>
      <c r="AM17" s="1236"/>
      <c r="AN17" s="1237"/>
      <c r="AO17" s="1464"/>
      <c r="AP17" s="1174"/>
      <c r="AQ17" s="1174"/>
      <c r="AR17" s="1174"/>
    </row>
    <row r="18" spans="2:46" ht="39.75" customHeight="1">
      <c r="B18" s="1741"/>
      <c r="C18" s="1447">
        <v>58</v>
      </c>
      <c r="D18" s="1448" t="s">
        <v>501</v>
      </c>
      <c r="E18" s="1827">
        <v>2000000</v>
      </c>
      <c r="F18" s="1449" t="s">
        <v>183</v>
      </c>
      <c r="G18" s="1450">
        <f>I18/E18</f>
        <v>0.3</v>
      </c>
      <c r="H18" s="1229"/>
      <c r="I18" s="1828">
        <v>600000</v>
      </c>
      <c r="J18" s="1872">
        <v>-81308</v>
      </c>
      <c r="K18" s="1469">
        <v>-68853</v>
      </c>
      <c r="L18" s="1746">
        <v>-58882</v>
      </c>
      <c r="M18" s="1238" t="s">
        <v>718</v>
      </c>
      <c r="N18" s="1238" t="s">
        <v>742</v>
      </c>
      <c r="O18" s="1238" t="s">
        <v>743</v>
      </c>
      <c r="P18" s="1223">
        <f>'Dettaglio PN - Info per N.I.'!C58</f>
        <v>1589678</v>
      </c>
      <c r="Q18" s="1239">
        <v>16</v>
      </c>
      <c r="R18" s="1225">
        <f>'Dettaglio PN - Info per N.I.'!E58</f>
        <v>476903.4</v>
      </c>
      <c r="S18" s="1226">
        <v>1589678</v>
      </c>
      <c r="T18" s="1240">
        <v>2016</v>
      </c>
      <c r="U18" s="1228">
        <f>ROUND(S18*G18,2)</f>
        <v>476903.4</v>
      </c>
      <c r="V18" s="1223">
        <f>SUM(W18:Y18)</f>
        <v>600000</v>
      </c>
      <c r="W18" s="1229">
        <v>600000</v>
      </c>
      <c r="X18" s="1229">
        <v>0</v>
      </c>
      <c r="Y18" s="1230">
        <v>0</v>
      </c>
      <c r="Z18" s="1453">
        <f>V18</f>
        <v>600000</v>
      </c>
      <c r="AA18" s="1229">
        <f>X18</f>
        <v>0</v>
      </c>
      <c r="AB18" s="1230">
        <f>Y18</f>
        <v>0</v>
      </c>
      <c r="AC18" s="1454">
        <f>V18</f>
        <v>600000</v>
      </c>
      <c r="AD18" s="1229"/>
      <c r="AE18" s="1229"/>
      <c r="AF18" s="1229"/>
      <c r="AG18" s="1229"/>
      <c r="AH18" s="1229"/>
      <c r="AI18" s="1229"/>
      <c r="AJ18" s="1229"/>
      <c r="AK18" s="1229"/>
      <c r="AL18" s="1229"/>
      <c r="AM18" s="1455">
        <f>SUM(AC18:AL18)</f>
        <v>600000</v>
      </c>
      <c r="AN18" s="1456"/>
      <c r="AO18" s="1457"/>
      <c r="AP18" s="1459"/>
      <c r="AQ18" s="1459"/>
      <c r="AR18" s="1459">
        <f>AM18</f>
        <v>600000</v>
      </c>
      <c r="AT18" s="1174"/>
    </row>
    <row r="19" spans="2:44" ht="12.75">
      <c r="B19" s="1743"/>
      <c r="D19" s="1231" t="s">
        <v>475</v>
      </c>
      <c r="E19" s="1829"/>
      <c r="F19" s="1214"/>
      <c r="G19" s="1460"/>
      <c r="H19" s="1298"/>
      <c r="I19" s="1825"/>
      <c r="J19" s="1868"/>
      <c r="K19" s="1440"/>
      <c r="L19" s="1740"/>
      <c r="P19" s="1232"/>
      <c r="Q19" s="1241"/>
      <c r="R19" s="1211"/>
      <c r="S19" s="1234"/>
      <c r="T19" s="1220"/>
      <c r="U19" s="1235"/>
      <c r="V19" s="1232"/>
      <c r="W19" s="1269"/>
      <c r="X19" s="1269"/>
      <c r="Y19" s="1237"/>
      <c r="Z19" s="1441"/>
      <c r="AA19" s="1236"/>
      <c r="AB19" s="1237"/>
      <c r="AC19" s="1297"/>
      <c r="AD19" s="1269"/>
      <c r="AE19" s="1236"/>
      <c r="AF19" s="1236"/>
      <c r="AG19" s="1236"/>
      <c r="AH19" s="1236"/>
      <c r="AI19" s="1269"/>
      <c r="AJ19" s="1236"/>
      <c r="AK19" s="1236"/>
      <c r="AL19" s="1269"/>
      <c r="AM19" s="1236"/>
      <c r="AN19" s="1237"/>
      <c r="AO19" s="1464"/>
      <c r="AP19" s="1174"/>
      <c r="AQ19" s="1174"/>
      <c r="AR19" s="1174"/>
    </row>
    <row r="20" spans="2:46" ht="39.75" customHeight="1">
      <c r="B20" s="1741"/>
      <c r="C20" s="1447">
        <v>73</v>
      </c>
      <c r="D20" s="1448" t="s">
        <v>503</v>
      </c>
      <c r="E20" s="1827">
        <v>615385</v>
      </c>
      <c r="F20" s="1449" t="s">
        <v>183</v>
      </c>
      <c r="G20" s="1450">
        <f>I20/E20</f>
        <v>0.3500004062497461</v>
      </c>
      <c r="H20" s="1229"/>
      <c r="I20" s="1828">
        <v>215385</v>
      </c>
      <c r="J20" s="1872">
        <v>69242</v>
      </c>
      <c r="K20" s="1469">
        <v>72079</v>
      </c>
      <c r="L20" s="1746">
        <v>13469</v>
      </c>
      <c r="M20" s="1238" t="s">
        <v>718</v>
      </c>
      <c r="N20" s="1238" t="s">
        <v>729</v>
      </c>
      <c r="O20" s="1238" t="s">
        <v>745</v>
      </c>
      <c r="P20" s="1223">
        <f>'Dettaglio PN - Info per N.I.'!C73</f>
        <v>1056064</v>
      </c>
      <c r="Q20" s="1239">
        <v>16</v>
      </c>
      <c r="R20" s="1225">
        <f>'Dettaglio PN - Info per N.I.'!E73</f>
        <v>369622.83</v>
      </c>
      <c r="S20" s="1226" t="s">
        <v>606</v>
      </c>
      <c r="T20" s="1240">
        <v>2016</v>
      </c>
      <c r="U20" s="1228" t="s">
        <v>606</v>
      </c>
      <c r="V20" s="1223">
        <f>SUM(W20:Y20)</f>
        <v>500000</v>
      </c>
      <c r="W20" s="1229">
        <v>215385</v>
      </c>
      <c r="X20" s="1229">
        <v>0</v>
      </c>
      <c r="Y20" s="1230">
        <v>284615</v>
      </c>
      <c r="Z20" s="1453">
        <f>V20</f>
        <v>500000</v>
      </c>
      <c r="AA20" s="1229">
        <f>X20</f>
        <v>0</v>
      </c>
      <c r="AB20" s="1230">
        <f>Y20</f>
        <v>284615</v>
      </c>
      <c r="AC20" s="1454">
        <f>V20</f>
        <v>500000</v>
      </c>
      <c r="AD20" s="1229"/>
      <c r="AE20" s="1229"/>
      <c r="AF20" s="1229"/>
      <c r="AG20" s="1229"/>
      <c r="AH20" s="1229"/>
      <c r="AI20" s="1229"/>
      <c r="AJ20" s="1229"/>
      <c r="AK20" s="1229"/>
      <c r="AL20" s="1229"/>
      <c r="AM20" s="1455">
        <f>SUM(AC20:AL20)</f>
        <v>500000</v>
      </c>
      <c r="AN20" s="1456"/>
      <c r="AO20" s="1457"/>
      <c r="AP20" s="1458"/>
      <c r="AQ20" s="1458"/>
      <c r="AR20" s="1459">
        <f>AM20</f>
        <v>500000</v>
      </c>
      <c r="AT20" s="1174"/>
    </row>
    <row r="21" spans="2:44" ht="12.75">
      <c r="B21" s="1743"/>
      <c r="D21" s="1231" t="s">
        <v>477</v>
      </c>
      <c r="E21" s="1829"/>
      <c r="F21" s="1214"/>
      <c r="G21" s="1460"/>
      <c r="H21" s="1298"/>
      <c r="I21" s="1825"/>
      <c r="J21" s="1868"/>
      <c r="K21" s="1440"/>
      <c r="L21" s="1740"/>
      <c r="P21" s="1232"/>
      <c r="Q21" s="1241"/>
      <c r="R21" s="1211"/>
      <c r="S21" s="1234"/>
      <c r="T21" s="1220"/>
      <c r="U21" s="1235"/>
      <c r="V21" s="1232"/>
      <c r="W21" s="1269"/>
      <c r="X21" s="1269"/>
      <c r="Y21" s="1237"/>
      <c r="Z21" s="1441"/>
      <c r="AA21" s="1236"/>
      <c r="AB21" s="1237"/>
      <c r="AC21" s="1297"/>
      <c r="AD21" s="1269"/>
      <c r="AE21" s="1236"/>
      <c r="AF21" s="1236"/>
      <c r="AG21" s="1236"/>
      <c r="AH21" s="1236"/>
      <c r="AI21" s="1269"/>
      <c r="AJ21" s="1236"/>
      <c r="AK21" s="1236"/>
      <c r="AL21" s="1269"/>
      <c r="AM21" s="1236"/>
      <c r="AN21" s="1237"/>
      <c r="AO21" s="1464"/>
      <c r="AP21" s="1174"/>
      <c r="AQ21" s="1174"/>
      <c r="AR21" s="1174"/>
    </row>
    <row r="22" spans="2:46" ht="39.75" customHeight="1">
      <c r="B22" s="1741"/>
      <c r="C22" s="1447">
        <v>67</v>
      </c>
      <c r="D22" s="1448" t="s">
        <v>504</v>
      </c>
      <c r="E22" s="1827">
        <v>876470.58</v>
      </c>
      <c r="F22" s="1449" t="s">
        <v>183</v>
      </c>
      <c r="G22" s="1450">
        <f>I22/E22</f>
        <v>0.3288590587946489</v>
      </c>
      <c r="H22" s="1229"/>
      <c r="I22" s="1828">
        <v>288235.29</v>
      </c>
      <c r="J22" s="1871" t="s">
        <v>752</v>
      </c>
      <c r="K22" s="1465" t="s">
        <v>771</v>
      </c>
      <c r="L22" s="1745" t="s">
        <v>772</v>
      </c>
      <c r="M22" s="1238" t="s">
        <v>718</v>
      </c>
      <c r="N22" s="1238" t="s">
        <v>746</v>
      </c>
      <c r="O22" s="1238" t="s">
        <v>747</v>
      </c>
      <c r="P22" s="1223">
        <f>'Dettaglio PN - Info per N.I.'!C86</f>
        <v>2075481</v>
      </c>
      <c r="Q22" s="1246">
        <v>42794</v>
      </c>
      <c r="R22" s="1225">
        <f>'Dettaglio PN - Info per N.I.'!E86</f>
        <v>682540.73</v>
      </c>
      <c r="S22" s="1226" t="s">
        <v>606</v>
      </c>
      <c r="T22" s="1240">
        <v>2016</v>
      </c>
      <c r="U22" s="1228" t="s">
        <v>606</v>
      </c>
      <c r="V22" s="1223">
        <f>SUM(W22:Y22)</f>
        <v>800000</v>
      </c>
      <c r="W22" s="1229">
        <f>84239+203996.29</f>
        <v>288235.29000000004</v>
      </c>
      <c r="X22" s="1229">
        <v>0</v>
      </c>
      <c r="Y22" s="1230">
        <f>415761+96003.71</f>
        <v>511764.71</v>
      </c>
      <c r="Z22" s="1453">
        <f>V22</f>
        <v>800000</v>
      </c>
      <c r="AA22" s="1229">
        <f>X22</f>
        <v>0</v>
      </c>
      <c r="AB22" s="1230">
        <f>Y22</f>
        <v>511764.71</v>
      </c>
      <c r="AC22" s="1454">
        <f>+Z22</f>
        <v>800000</v>
      </c>
      <c r="AD22" s="1229"/>
      <c r="AE22" s="1229"/>
      <c r="AF22" s="1229"/>
      <c r="AG22" s="1229"/>
      <c r="AH22" s="1229"/>
      <c r="AI22" s="1229"/>
      <c r="AJ22" s="1229"/>
      <c r="AK22" s="1229"/>
      <c r="AL22" s="1229"/>
      <c r="AM22" s="1455">
        <f>SUM(AC22:AL22)</f>
        <v>800000</v>
      </c>
      <c r="AN22" s="1456"/>
      <c r="AO22" s="1457"/>
      <c r="AP22" s="1459"/>
      <c r="AQ22" s="1459"/>
      <c r="AR22" s="1459">
        <f>AM22</f>
        <v>800000</v>
      </c>
      <c r="AT22" s="1174"/>
    </row>
    <row r="23" spans="2:44" ht="12.75">
      <c r="B23" s="1743"/>
      <c r="D23" s="1231" t="s">
        <v>478</v>
      </c>
      <c r="E23" s="1829"/>
      <c r="F23" s="1214"/>
      <c r="G23" s="1460"/>
      <c r="H23" s="1298"/>
      <c r="I23" s="1825"/>
      <c r="J23" s="1868"/>
      <c r="K23" s="1440"/>
      <c r="L23" s="1740"/>
      <c r="P23" s="1232"/>
      <c r="Q23" s="1241"/>
      <c r="R23" s="1211"/>
      <c r="S23" s="1234"/>
      <c r="T23" s="1220"/>
      <c r="U23" s="1235"/>
      <c r="V23" s="1232"/>
      <c r="W23" s="1269"/>
      <c r="X23" s="1269"/>
      <c r="Y23" s="1237"/>
      <c r="Z23" s="1441"/>
      <c r="AA23" s="1236"/>
      <c r="AB23" s="1237"/>
      <c r="AC23" s="1297"/>
      <c r="AD23" s="1269"/>
      <c r="AE23" s="1236"/>
      <c r="AF23" s="1236"/>
      <c r="AG23" s="1236"/>
      <c r="AH23" s="1236"/>
      <c r="AI23" s="1269"/>
      <c r="AJ23" s="1236"/>
      <c r="AK23" s="1236"/>
      <c r="AL23" s="1269"/>
      <c r="AM23" s="1236"/>
      <c r="AN23" s="1237"/>
      <c r="AO23" s="1464"/>
      <c r="AP23" s="1174"/>
      <c r="AQ23" s="1174"/>
      <c r="AR23" s="1174"/>
    </row>
    <row r="24" spans="2:46" ht="39.75" customHeight="1" hidden="1">
      <c r="B24" s="1741"/>
      <c r="C24" s="1447">
        <v>63</v>
      </c>
      <c r="D24" s="1448" t="s">
        <v>505</v>
      </c>
      <c r="E24" s="1827"/>
      <c r="F24" s="1466"/>
      <c r="G24" s="1450"/>
      <c r="H24" s="1229"/>
      <c r="I24" s="1828"/>
      <c r="J24" s="1869"/>
      <c r="K24" s="1451"/>
      <c r="L24" s="1742"/>
      <c r="M24" s="1467" t="s">
        <v>265</v>
      </c>
      <c r="N24" s="1467" t="s">
        <v>265</v>
      </c>
      <c r="O24" s="1467" t="s">
        <v>265</v>
      </c>
      <c r="P24" s="1223"/>
      <c r="Q24" s="1242"/>
      <c r="R24" s="1225"/>
      <c r="S24" s="1226"/>
      <c r="T24" s="1246"/>
      <c r="U24" s="1228"/>
      <c r="V24" s="1223"/>
      <c r="W24" s="1229"/>
      <c r="X24" s="1229"/>
      <c r="Y24" s="1230"/>
      <c r="Z24" s="1453"/>
      <c r="AA24" s="1229"/>
      <c r="AB24" s="1230"/>
      <c r="AC24" s="1454">
        <v>652469.4299999997</v>
      </c>
      <c r="AD24" s="1229"/>
      <c r="AE24" s="1229">
        <f>-AC24</f>
        <v>-652469.4299999997</v>
      </c>
      <c r="AF24" s="1229"/>
      <c r="AG24" s="1229"/>
      <c r="AH24" s="1229"/>
      <c r="AI24" s="1229"/>
      <c r="AJ24" s="1229"/>
      <c r="AK24" s="1229"/>
      <c r="AL24" s="1229"/>
      <c r="AM24" s="1455">
        <f>SUM(AC24:AL24)</f>
        <v>0</v>
      </c>
      <c r="AN24" s="1456"/>
      <c r="AO24" s="1457"/>
      <c r="AP24" s="1459"/>
      <c r="AQ24" s="1459"/>
      <c r="AR24" s="1459">
        <f>AM24</f>
        <v>0</v>
      </c>
      <c r="AT24" s="1174"/>
    </row>
    <row r="25" spans="2:44" ht="12.75" hidden="1">
      <c r="B25" s="1743"/>
      <c r="D25" s="1231" t="s">
        <v>691</v>
      </c>
      <c r="E25" s="1829"/>
      <c r="F25" s="1214"/>
      <c r="G25" s="1460"/>
      <c r="H25" s="1298"/>
      <c r="I25" s="1830"/>
      <c r="J25" s="1870"/>
      <c r="K25" s="1461"/>
      <c r="L25" s="1744"/>
      <c r="M25" s="1463"/>
      <c r="N25" s="1463"/>
      <c r="O25" s="1463"/>
      <c r="P25" s="1232"/>
      <c r="Q25" s="1241"/>
      <c r="R25" s="1211"/>
      <c r="S25" s="1234"/>
      <c r="T25" s="1220"/>
      <c r="U25" s="1235"/>
      <c r="V25" s="1232"/>
      <c r="W25" s="1269"/>
      <c r="X25" s="1269"/>
      <c r="Y25" s="1237"/>
      <c r="Z25" s="1441"/>
      <c r="AA25" s="1236"/>
      <c r="AB25" s="1237"/>
      <c r="AC25" s="1468"/>
      <c r="AD25" s="1269"/>
      <c r="AE25" s="1236"/>
      <c r="AF25" s="1236"/>
      <c r="AG25" s="1236"/>
      <c r="AH25" s="1236"/>
      <c r="AI25" s="1269"/>
      <c r="AJ25" s="1236"/>
      <c r="AK25" s="1236"/>
      <c r="AL25" s="1269"/>
      <c r="AM25" s="1236"/>
      <c r="AN25" s="1237"/>
      <c r="AO25" s="1464"/>
      <c r="AP25" s="1174"/>
      <c r="AQ25" s="1174"/>
      <c r="AR25" s="1174"/>
    </row>
    <row r="26" spans="2:46" ht="39.75" customHeight="1">
      <c r="B26" s="1741"/>
      <c r="C26" s="1447">
        <v>76</v>
      </c>
      <c r="D26" s="1448" t="s">
        <v>689</v>
      </c>
      <c r="E26" s="1827">
        <v>1368963</v>
      </c>
      <c r="F26" s="1449" t="s">
        <v>183</v>
      </c>
      <c r="G26" s="1450">
        <f>I26/E26</f>
        <v>0.060756397360629905</v>
      </c>
      <c r="H26" s="1229">
        <v>1</v>
      </c>
      <c r="I26" s="1828">
        <v>83173.26</v>
      </c>
      <c r="J26" s="1872">
        <v>-1335767</v>
      </c>
      <c r="K26" s="1469">
        <v>-2506364</v>
      </c>
      <c r="L26" s="1746">
        <v>-1064917</v>
      </c>
      <c r="M26" s="1238" t="s">
        <v>720</v>
      </c>
      <c r="N26" s="1238" t="s">
        <v>725</v>
      </c>
      <c r="O26" s="1238" t="s">
        <v>759</v>
      </c>
      <c r="P26" s="1223">
        <v>3817841</v>
      </c>
      <c r="Q26" s="1242">
        <v>16</v>
      </c>
      <c r="R26" s="1225">
        <f>+P26*G26</f>
        <v>231958.26485570465</v>
      </c>
      <c r="S26" s="1226">
        <v>565127</v>
      </c>
      <c r="T26" s="1246">
        <v>42643</v>
      </c>
      <c r="U26" s="1228">
        <f>ROUND(S26*G26,2)</f>
        <v>34335.08</v>
      </c>
      <c r="V26" s="1223">
        <v>900719.91</v>
      </c>
      <c r="W26" s="1229">
        <f>I26</f>
        <v>83173.26</v>
      </c>
      <c r="X26" s="1229">
        <v>0</v>
      </c>
      <c r="Y26" s="1230">
        <f>V26-W26</f>
        <v>817546.65</v>
      </c>
      <c r="Z26" s="1453">
        <f>V26</f>
        <v>900719.91</v>
      </c>
      <c r="AA26" s="1229">
        <f>X26</f>
        <v>0</v>
      </c>
      <c r="AB26" s="1230">
        <f>Y26</f>
        <v>817546.65</v>
      </c>
      <c r="AC26" s="1454">
        <v>0</v>
      </c>
      <c r="AD26" s="1229"/>
      <c r="AE26" s="1229">
        <f>-AE24</f>
        <v>652469.4299999997</v>
      </c>
      <c r="AF26" s="1229"/>
      <c r="AG26" s="1229"/>
      <c r="AH26" s="1229"/>
      <c r="AI26" s="1229">
        <f>'Variazioni di valore IAS-IFRS'!R76</f>
        <v>248250.48</v>
      </c>
      <c r="AJ26" s="1229"/>
      <c r="AK26" s="1229"/>
      <c r="AL26" s="1229"/>
      <c r="AM26" s="1455">
        <f>SUM(AC26:AL26)</f>
        <v>900719.9099999997</v>
      </c>
      <c r="AN26" s="1456"/>
      <c r="AO26" s="1457"/>
      <c r="AP26" s="1459"/>
      <c r="AQ26" s="1459"/>
      <c r="AR26" s="1459">
        <f>AM26</f>
        <v>900719.9099999997</v>
      </c>
      <c r="AT26" s="1174"/>
    </row>
    <row r="27" spans="2:44" ht="12.75">
      <c r="B27" s="1743"/>
      <c r="D27" s="1231" t="s">
        <v>688</v>
      </c>
      <c r="E27" s="1829"/>
      <c r="F27" s="1214"/>
      <c r="G27" s="1460"/>
      <c r="H27" s="1298"/>
      <c r="I27" s="1830"/>
      <c r="J27" s="1870"/>
      <c r="K27" s="1461"/>
      <c r="L27" s="1744"/>
      <c r="M27" s="1463"/>
      <c r="N27" s="1463"/>
      <c r="O27" s="1463"/>
      <c r="P27" s="1232"/>
      <c r="Q27" s="1241"/>
      <c r="R27" s="1211"/>
      <c r="S27" s="1234"/>
      <c r="T27" s="1220"/>
      <c r="U27" s="1235"/>
      <c r="V27" s="1232"/>
      <c r="W27" s="1269"/>
      <c r="X27" s="1269"/>
      <c r="Y27" s="1237"/>
      <c r="Z27" s="1470"/>
      <c r="AA27" s="1236"/>
      <c r="AB27" s="1237"/>
      <c r="AC27" s="1468"/>
      <c r="AD27" s="1269"/>
      <c r="AE27" s="1236"/>
      <c r="AF27" s="1236"/>
      <c r="AG27" s="1236"/>
      <c r="AH27" s="1236"/>
      <c r="AI27" s="1269"/>
      <c r="AJ27" s="1236"/>
      <c r="AK27" s="1236"/>
      <c r="AL27" s="1269"/>
      <c r="AM27" s="1236"/>
      <c r="AN27" s="1237"/>
      <c r="AO27" s="1464"/>
      <c r="AP27" s="1174"/>
      <c r="AQ27" s="1174"/>
      <c r="AR27" s="1174"/>
    </row>
    <row r="28" spans="2:46" ht="39.75" customHeight="1">
      <c r="B28" s="1741"/>
      <c r="C28" s="1447">
        <v>57</v>
      </c>
      <c r="D28" s="1448" t="s">
        <v>506</v>
      </c>
      <c r="E28" s="1827">
        <v>1009295</v>
      </c>
      <c r="F28" s="1466">
        <f>(109135+53571.5+53571.5)</f>
        <v>216278</v>
      </c>
      <c r="G28" s="1450">
        <f>F28/F29</f>
        <v>0.21428620968101497</v>
      </c>
      <c r="H28" s="1229">
        <v>1</v>
      </c>
      <c r="I28" s="1828">
        <f>F28*H28</f>
        <v>216278</v>
      </c>
      <c r="J28" s="1872">
        <v>-204435</v>
      </c>
      <c r="K28" s="1469">
        <v>-493613</v>
      </c>
      <c r="L28" s="1746">
        <v>-318626</v>
      </c>
      <c r="M28" s="1238" t="s">
        <v>718</v>
      </c>
      <c r="N28" s="1238" t="s">
        <v>748</v>
      </c>
      <c r="O28" s="1238" t="s">
        <v>749</v>
      </c>
      <c r="P28" s="1223">
        <f>'Dettaglio PN - Info per N.I.'!C116</f>
        <v>164714</v>
      </c>
      <c r="Q28" s="1239">
        <v>16</v>
      </c>
      <c r="R28" s="1225">
        <f>'Dettaglio PN - Info per N.I.'!E116</f>
        <v>35295.94</v>
      </c>
      <c r="S28" s="1226">
        <f>1181366.03-436129.73</f>
        <v>745236.3</v>
      </c>
      <c r="T28" s="1240">
        <v>2016</v>
      </c>
      <c r="U28" s="1228">
        <f>ROUND(S28*G28,2)</f>
        <v>159693.86</v>
      </c>
      <c r="V28" s="1223">
        <f>(1000000+53571.5+53571.5)</f>
        <v>1107143</v>
      </c>
      <c r="W28" s="1229">
        <f>(109135+53571.5+53571.5)</f>
        <v>216278</v>
      </c>
      <c r="X28" s="1229">
        <v>0</v>
      </c>
      <c r="Y28" s="1230">
        <f>V28-W28</f>
        <v>890865</v>
      </c>
      <c r="Z28" s="1471">
        <f>V28</f>
        <v>1107143</v>
      </c>
      <c r="AA28" s="1229">
        <f>X28</f>
        <v>0</v>
      </c>
      <c r="AB28" s="1230">
        <f>Y28</f>
        <v>890865</v>
      </c>
      <c r="AC28" s="1472">
        <f>V28+'Variazioni di valore IAS-IFRS'!Q103</f>
        <v>464143</v>
      </c>
      <c r="AD28" s="1229"/>
      <c r="AE28" s="1229"/>
      <c r="AF28" s="1229"/>
      <c r="AG28" s="1229"/>
      <c r="AH28" s="1229"/>
      <c r="AI28" s="1229"/>
      <c r="AJ28" s="1229"/>
      <c r="AK28" s="1229"/>
      <c r="AL28" s="1229"/>
      <c r="AM28" s="1455">
        <f>SUM(AC28:AL28)</f>
        <v>464143</v>
      </c>
      <c r="AN28" s="1456"/>
      <c r="AO28" s="1457"/>
      <c r="AP28" s="1459"/>
      <c r="AQ28" s="1459"/>
      <c r="AR28" s="1459">
        <f>AM28</f>
        <v>464143</v>
      </c>
      <c r="AT28" s="1174"/>
    </row>
    <row r="29" spans="2:44" ht="12.75">
      <c r="B29" s="1743"/>
      <c r="D29" s="1231" t="s">
        <v>479</v>
      </c>
      <c r="E29" s="1829"/>
      <c r="F29" s="1214">
        <f>E28/H28</f>
        <v>1009295</v>
      </c>
      <c r="G29" s="1460"/>
      <c r="H29" s="1298"/>
      <c r="I29" s="1825"/>
      <c r="J29" s="1868"/>
      <c r="K29" s="1440"/>
      <c r="L29" s="1740"/>
      <c r="P29" s="1232"/>
      <c r="Q29" s="1241"/>
      <c r="R29" s="1211"/>
      <c r="S29" s="1234"/>
      <c r="T29" s="1220"/>
      <c r="U29" s="1235"/>
      <c r="V29" s="1232"/>
      <c r="W29" s="1269"/>
      <c r="X29" s="1269"/>
      <c r="Y29" s="1237"/>
      <c r="Z29" s="1441"/>
      <c r="AA29" s="1236"/>
      <c r="AB29" s="1237"/>
      <c r="AC29" s="1468"/>
      <c r="AD29" s="1269"/>
      <c r="AE29" s="1236"/>
      <c r="AF29" s="1236"/>
      <c r="AG29" s="1236"/>
      <c r="AH29" s="1236"/>
      <c r="AI29" s="1269"/>
      <c r="AJ29" s="1236"/>
      <c r="AK29" s="1236"/>
      <c r="AL29" s="1269"/>
      <c r="AM29" s="1236"/>
      <c r="AN29" s="1237"/>
      <c r="AO29" s="1464"/>
      <c r="AP29" s="1174"/>
      <c r="AQ29" s="1174"/>
      <c r="AR29" s="1174"/>
    </row>
    <row r="30" spans="2:46" ht="39.75" customHeight="1">
      <c r="B30" s="1741"/>
      <c r="C30" s="1447">
        <v>60</v>
      </c>
      <c r="D30" s="1448" t="s">
        <v>507</v>
      </c>
      <c r="E30" s="1827">
        <v>222378</v>
      </c>
      <c r="F30" s="1449" t="s">
        <v>183</v>
      </c>
      <c r="G30" s="1450">
        <f>I30/E30</f>
        <v>0.28500121414888163</v>
      </c>
      <c r="H30" s="1229"/>
      <c r="I30" s="1828">
        <v>63378</v>
      </c>
      <c r="J30" s="1872">
        <v>143564</v>
      </c>
      <c r="K30" s="1469">
        <v>51357</v>
      </c>
      <c r="L30" s="1746">
        <v>39631</v>
      </c>
      <c r="M30" s="1238" t="s">
        <v>718</v>
      </c>
      <c r="N30" s="1238" t="s">
        <v>728</v>
      </c>
      <c r="O30" s="1238" t="s">
        <v>750</v>
      </c>
      <c r="P30" s="1223">
        <f>'Dettaglio PN - Info per N.I.'!C123</f>
        <v>2454800</v>
      </c>
      <c r="Q30" s="1239">
        <v>16</v>
      </c>
      <c r="R30" s="1225">
        <f>'Dettaglio PN - Info per N.I.'!E123</f>
        <v>699620.98</v>
      </c>
      <c r="S30" s="1226">
        <v>2454800</v>
      </c>
      <c r="T30" s="1240">
        <v>2016</v>
      </c>
      <c r="U30" s="1228">
        <f>ROUND(S30*G30,2)</f>
        <v>699620.98</v>
      </c>
      <c r="V30" s="1223">
        <f>SUM(W30:Y30)</f>
        <v>700000</v>
      </c>
      <c r="W30" s="1229">
        <v>63378</v>
      </c>
      <c r="X30" s="1229">
        <v>0</v>
      </c>
      <c r="Y30" s="1230">
        <v>636622</v>
      </c>
      <c r="Z30" s="1471">
        <f>V30</f>
        <v>700000</v>
      </c>
      <c r="AA30" s="1229">
        <f>X30</f>
        <v>0</v>
      </c>
      <c r="AB30" s="1230">
        <f>Y30</f>
        <v>636622</v>
      </c>
      <c r="AC30" s="1472">
        <f>V30</f>
        <v>700000</v>
      </c>
      <c r="AD30" s="1229"/>
      <c r="AE30" s="1229"/>
      <c r="AF30" s="1229"/>
      <c r="AG30" s="1229"/>
      <c r="AH30" s="1229"/>
      <c r="AI30" s="1229"/>
      <c r="AJ30" s="1229"/>
      <c r="AK30" s="1229"/>
      <c r="AL30" s="1229"/>
      <c r="AM30" s="1455">
        <f>SUM(AC30:AL30)</f>
        <v>700000</v>
      </c>
      <c r="AN30" s="1456"/>
      <c r="AO30" s="1457"/>
      <c r="AP30" s="1459"/>
      <c r="AQ30" s="1459"/>
      <c r="AR30" s="1459">
        <f>AM30</f>
        <v>700000</v>
      </c>
      <c r="AT30" s="1174"/>
    </row>
    <row r="31" spans="2:44" ht="12.75">
      <c r="B31" s="1743"/>
      <c r="D31" s="1231" t="s">
        <v>480</v>
      </c>
      <c r="E31" s="1829"/>
      <c r="F31" s="1214"/>
      <c r="G31" s="1460"/>
      <c r="H31" s="1298"/>
      <c r="I31" s="1825"/>
      <c r="J31" s="1868"/>
      <c r="K31" s="1440"/>
      <c r="L31" s="1740"/>
      <c r="P31" s="1232"/>
      <c r="Q31" s="1241"/>
      <c r="R31" s="1211"/>
      <c r="S31" s="1234"/>
      <c r="T31" s="1220"/>
      <c r="U31" s="1235"/>
      <c r="V31" s="1356"/>
      <c r="W31" s="1298"/>
      <c r="X31" s="1298"/>
      <c r="Y31" s="1237"/>
      <c r="Z31" s="1441"/>
      <c r="AA31" s="1214"/>
      <c r="AB31" s="1237"/>
      <c r="AC31" s="1468"/>
      <c r="AD31" s="1269"/>
      <c r="AE31" s="1236"/>
      <c r="AF31" s="1236"/>
      <c r="AG31" s="1236"/>
      <c r="AH31" s="1236"/>
      <c r="AI31" s="1269"/>
      <c r="AJ31" s="1236"/>
      <c r="AK31" s="1236"/>
      <c r="AL31" s="1269"/>
      <c r="AM31" s="1236"/>
      <c r="AN31" s="1237"/>
      <c r="AO31" s="1464"/>
      <c r="AP31" s="1174"/>
      <c r="AQ31" s="1174"/>
      <c r="AR31" s="1174"/>
    </row>
    <row r="32" spans="2:44" s="1484" customFormat="1" ht="12.75">
      <c r="B32" s="1747" t="s">
        <v>763</v>
      </c>
      <c r="C32" s="1473"/>
      <c r="D32" s="1474"/>
      <c r="E32" s="1831"/>
      <c r="F32" s="1475"/>
      <c r="G32" s="1475"/>
      <c r="H32" s="1252"/>
      <c r="I32" s="1832">
        <f>SUM(I10:I30)</f>
        <v>1936068.62</v>
      </c>
      <c r="J32" s="1873"/>
      <c r="K32" s="1476"/>
      <c r="L32" s="1748"/>
      <c r="M32" s="1477"/>
      <c r="N32" s="1477"/>
      <c r="O32" s="1477"/>
      <c r="P32" s="1247"/>
      <c r="Q32" s="1248"/>
      <c r="R32" s="1293"/>
      <c r="S32" s="1249"/>
      <c r="T32" s="1250"/>
      <c r="U32" s="1251"/>
      <c r="V32" s="1478"/>
      <c r="W32" s="1479"/>
      <c r="X32" s="1479"/>
      <c r="Y32" s="1480"/>
      <c r="Z32" s="1481">
        <f aca="true" t="shared" si="0" ref="Z32:AM32">SUM(Z10:Z30)</f>
        <v>7357862.91</v>
      </c>
      <c r="AA32" s="1252">
        <f t="shared" si="0"/>
        <v>0</v>
      </c>
      <c r="AB32" s="1293">
        <f t="shared" si="0"/>
        <v>5421794.29</v>
      </c>
      <c r="AC32" s="1482">
        <f t="shared" si="0"/>
        <v>7720499.48</v>
      </c>
      <c r="AD32" s="1252">
        <f t="shared" si="0"/>
        <v>0</v>
      </c>
      <c r="AE32" s="1252">
        <f t="shared" si="0"/>
        <v>-1800000</v>
      </c>
      <c r="AF32" s="1252">
        <f t="shared" si="0"/>
        <v>546112.95</v>
      </c>
      <c r="AG32" s="1252">
        <f t="shared" si="0"/>
        <v>0</v>
      </c>
      <c r="AH32" s="1252">
        <f t="shared" si="0"/>
        <v>0</v>
      </c>
      <c r="AI32" s="1252">
        <f t="shared" si="0"/>
        <v>248250.48</v>
      </c>
      <c r="AJ32" s="1252">
        <f t="shared" si="0"/>
        <v>0</v>
      </c>
      <c r="AK32" s="1252">
        <f t="shared" si="0"/>
        <v>0</v>
      </c>
      <c r="AL32" s="1252">
        <f t="shared" si="0"/>
        <v>0</v>
      </c>
      <c r="AM32" s="1252">
        <f t="shared" si="0"/>
        <v>6714862.91</v>
      </c>
      <c r="AN32" s="1293"/>
      <c r="AO32" s="1483"/>
      <c r="AP32" s="1376">
        <f>SUM(AP10:AP30)</f>
        <v>0</v>
      </c>
      <c r="AQ32" s="1376">
        <f>SUM(AQ10:AQ30)</f>
        <v>0</v>
      </c>
      <c r="AR32" s="1376">
        <f>SUM(AR10:AR30)</f>
        <v>6714862.91</v>
      </c>
    </row>
    <row r="33" spans="2:45" ht="12.75">
      <c r="B33" s="1739" t="s">
        <v>182</v>
      </c>
      <c r="D33" s="1444"/>
      <c r="E33" s="1826"/>
      <c r="F33" s="1214"/>
      <c r="G33" s="1214"/>
      <c r="H33" s="1214"/>
      <c r="I33" s="1825"/>
      <c r="J33" s="1868"/>
      <c r="K33" s="1440"/>
      <c r="L33" s="1740"/>
      <c r="P33" s="1232"/>
      <c r="Q33" s="1210"/>
      <c r="R33" s="1218"/>
      <c r="S33" s="1253"/>
      <c r="T33" s="1220"/>
      <c r="U33" s="1235"/>
      <c r="V33" s="1232"/>
      <c r="W33" s="1236"/>
      <c r="X33" s="1236"/>
      <c r="Y33" s="1237"/>
      <c r="Z33" s="1485"/>
      <c r="AA33" s="1254"/>
      <c r="AB33" s="1221"/>
      <c r="AC33" s="1486"/>
      <c r="AD33" s="1236"/>
      <c r="AE33" s="1236"/>
      <c r="AF33" s="1236"/>
      <c r="AG33" s="1236"/>
      <c r="AH33" s="1236"/>
      <c r="AI33" s="1236"/>
      <c r="AJ33" s="1236"/>
      <c r="AK33" s="1236"/>
      <c r="AL33" s="1236"/>
      <c r="AM33" s="1487"/>
      <c r="AN33" s="1237"/>
      <c r="AO33" s="1403"/>
      <c r="AP33" s="1174"/>
      <c r="AQ33" s="1174"/>
      <c r="AR33" s="1174"/>
      <c r="AS33" s="1444"/>
    </row>
    <row r="34" spans="2:49" ht="39.75" customHeight="1">
      <c r="B34" s="1741"/>
      <c r="C34" s="1447">
        <v>65</v>
      </c>
      <c r="D34" s="1448" t="s">
        <v>508</v>
      </c>
      <c r="E34" s="1827">
        <v>8924165</v>
      </c>
      <c r="F34" s="1466">
        <v>1785000</v>
      </c>
      <c r="G34" s="1450">
        <f>F34/F35</f>
        <v>0.02000187132353559</v>
      </c>
      <c r="H34" s="1229">
        <v>0.1</v>
      </c>
      <c r="I34" s="1828">
        <f>F34*H34</f>
        <v>178500</v>
      </c>
      <c r="J34" s="1872">
        <v>-6412063</v>
      </c>
      <c r="K34" s="1469">
        <v>-4228714</v>
      </c>
      <c r="L34" s="1746">
        <v>-309876</v>
      </c>
      <c r="M34" s="1238" t="s">
        <v>718</v>
      </c>
      <c r="N34" s="1255" t="s">
        <v>726</v>
      </c>
      <c r="O34" s="1255"/>
      <c r="P34" s="1223">
        <f>'Dettaglio PN - Info per N.I.'!C132</f>
        <v>37926536</v>
      </c>
      <c r="Q34" s="1242">
        <v>16</v>
      </c>
      <c r="R34" s="1225">
        <f>'Dettaglio PN - Info per N.I.'!E132</f>
        <v>758601.69</v>
      </c>
      <c r="S34" s="1226" t="s">
        <v>606</v>
      </c>
      <c r="T34" s="1240">
        <v>2016</v>
      </c>
      <c r="U34" s="1228" t="s">
        <v>606</v>
      </c>
      <c r="V34" s="1223">
        <f>SUM(W34:Y34)</f>
        <v>1496490.5</v>
      </c>
      <c r="W34" s="1229">
        <v>178500</v>
      </c>
      <c r="X34" s="1229">
        <v>0</v>
      </c>
      <c r="Y34" s="1230">
        <v>1317990.5</v>
      </c>
      <c r="Z34" s="1453">
        <f>V34</f>
        <v>1496490.5</v>
      </c>
      <c r="AA34" s="1229">
        <f>X34</f>
        <v>0</v>
      </c>
      <c r="AB34" s="1230">
        <f>Y34</f>
        <v>1317990.5</v>
      </c>
      <c r="AC34" s="1472">
        <f>V34+'Variazioni di valore IAS-IFRS'!Q108</f>
        <v>1204875</v>
      </c>
      <c r="AD34" s="1229"/>
      <c r="AE34" s="1229"/>
      <c r="AF34" s="1229"/>
      <c r="AG34" s="1229"/>
      <c r="AH34" s="1229"/>
      <c r="AI34" s="1229"/>
      <c r="AJ34" s="1229"/>
      <c r="AK34" s="1229">
        <f>'Variazioni di valore IAS-IFRS'!R107</f>
        <v>149047.5</v>
      </c>
      <c r="AL34" s="1229"/>
      <c r="AM34" s="1455">
        <f>SUM(AC34:AL34)</f>
        <v>1353922.5</v>
      </c>
      <c r="AN34" s="1456">
        <f>'Variazioni di valore IAS-IFRS'!R108</f>
        <v>-142568</v>
      </c>
      <c r="AO34" s="1256" t="s">
        <v>760</v>
      </c>
      <c r="AP34" s="1459"/>
      <c r="AQ34" s="1459">
        <f>AM34</f>
        <v>1353922.5</v>
      </c>
      <c r="AR34" s="1459"/>
      <c r="AS34" s="1488" t="s">
        <v>708</v>
      </c>
      <c r="AT34" s="1489" t="s">
        <v>707</v>
      </c>
      <c r="AV34" s="1490">
        <f>+AN34/Z34</f>
        <v>-0.0952682292336637</v>
      </c>
      <c r="AW34" s="1490">
        <f>+AN34/AC34</f>
        <v>-0.11832596742400664</v>
      </c>
    </row>
    <row r="35" spans="2:46" ht="12.75">
      <c r="B35" s="1743"/>
      <c r="D35" s="1231" t="s">
        <v>481</v>
      </c>
      <c r="E35" s="1829"/>
      <c r="F35" s="1214">
        <f>E34/H34</f>
        <v>89241650</v>
      </c>
      <c r="G35" s="1460"/>
      <c r="H35" s="1298"/>
      <c r="I35" s="1825"/>
      <c r="J35" s="1868"/>
      <c r="K35" s="1440"/>
      <c r="L35" s="1740"/>
      <c r="P35" s="1232"/>
      <c r="Q35" s="1245"/>
      <c r="R35" s="1211"/>
      <c r="S35" s="1234"/>
      <c r="T35" s="1220"/>
      <c r="U35" s="1235"/>
      <c r="V35" s="1232"/>
      <c r="W35" s="1269"/>
      <c r="X35" s="1269"/>
      <c r="Y35" s="1237"/>
      <c r="Z35" s="1441"/>
      <c r="AA35" s="1236"/>
      <c r="AB35" s="1221"/>
      <c r="AC35" s="1468"/>
      <c r="AD35" s="1269"/>
      <c r="AE35" s="1236"/>
      <c r="AF35" s="1236"/>
      <c r="AG35" s="1236"/>
      <c r="AH35" s="1236"/>
      <c r="AI35" s="1269"/>
      <c r="AJ35" s="1236"/>
      <c r="AK35" s="1236"/>
      <c r="AL35" s="1269"/>
      <c r="AM35" s="1236"/>
      <c r="AN35" s="1237"/>
      <c r="AO35" s="1257">
        <v>0.7585</v>
      </c>
      <c r="AP35" s="1174"/>
      <c r="AQ35" s="1174"/>
      <c r="AR35" s="1174"/>
      <c r="AS35" s="1488">
        <v>1785000</v>
      </c>
      <c r="AT35" s="1491">
        <f>+AO35</f>
        <v>0.7585</v>
      </c>
    </row>
    <row r="36" spans="2:46" ht="39.75" customHeight="1">
      <c r="B36" s="1741"/>
      <c r="C36" s="1447">
        <v>71</v>
      </c>
      <c r="D36" s="1448" t="s">
        <v>509</v>
      </c>
      <c r="E36" s="1827">
        <v>77153.1</v>
      </c>
      <c r="F36" s="1449" t="s">
        <v>183</v>
      </c>
      <c r="G36" s="1450">
        <f>I36/E36</f>
        <v>0.054005218196028416</v>
      </c>
      <c r="H36" s="1492"/>
      <c r="I36" s="1828">
        <v>4166.67</v>
      </c>
      <c r="J36" s="1872">
        <v>-701043</v>
      </c>
      <c r="K36" s="1469">
        <v>-3102110</v>
      </c>
      <c r="L36" s="1749" t="s">
        <v>606</v>
      </c>
      <c r="M36" s="1238" t="s">
        <v>718</v>
      </c>
      <c r="N36" s="1238" t="s">
        <v>723</v>
      </c>
      <c r="O36" s="1238" t="s">
        <v>751</v>
      </c>
      <c r="P36" s="1223">
        <f>'Dettaglio PN - Info per N.I.'!C139</f>
        <v>409750.0999999996</v>
      </c>
      <c r="Q36" s="1239">
        <v>16</v>
      </c>
      <c r="R36" s="1225">
        <f>'Dettaglio PN - Info per N.I.'!E139</f>
        <v>22128.64</v>
      </c>
      <c r="S36" s="1226">
        <v>409750</v>
      </c>
      <c r="T36" s="1240">
        <v>2016</v>
      </c>
      <c r="U36" s="1228">
        <f>ROUND(S36*G36,2)</f>
        <v>22128.64</v>
      </c>
      <c r="V36" s="1223">
        <f>SUM(W36:Y36)</f>
        <v>500000</v>
      </c>
      <c r="W36" s="1229">
        <v>4166.67</v>
      </c>
      <c r="X36" s="1229">
        <v>0</v>
      </c>
      <c r="Y36" s="1230">
        <v>495833.33</v>
      </c>
      <c r="Z36" s="1453">
        <f>V36</f>
        <v>500000</v>
      </c>
      <c r="AA36" s="1229">
        <f>X36</f>
        <v>0</v>
      </c>
      <c r="AB36" s="1230">
        <f>Y36</f>
        <v>495833.33</v>
      </c>
      <c r="AC36" s="1455">
        <f>V36+'Variazioni di valore IAS-IFRS'!Q126</f>
        <v>1</v>
      </c>
      <c r="AD36" s="1229"/>
      <c r="AE36" s="1229"/>
      <c r="AF36" s="1229"/>
      <c r="AG36" s="1229"/>
      <c r="AH36" s="1229"/>
      <c r="AI36" s="1229"/>
      <c r="AJ36" s="1229"/>
      <c r="AK36" s="1229"/>
      <c r="AL36" s="1229"/>
      <c r="AM36" s="1455">
        <f>SUM(AC36:AL36)</f>
        <v>1</v>
      </c>
      <c r="AN36" s="1230"/>
      <c r="AO36" s="1457"/>
      <c r="AP36" s="1459"/>
      <c r="AQ36" s="1459"/>
      <c r="AR36" s="1459">
        <f>AM36</f>
        <v>1</v>
      </c>
      <c r="AS36" s="1174">
        <f>+AS35*AT35</f>
        <v>1353922.5</v>
      </c>
      <c r="AT36" s="1179" t="s">
        <v>709</v>
      </c>
    </row>
    <row r="37" spans="2:46" ht="12.75">
      <c r="B37" s="1743"/>
      <c r="D37" s="1231" t="s">
        <v>482</v>
      </c>
      <c r="E37" s="1829"/>
      <c r="F37" s="1214"/>
      <c r="G37" s="1460"/>
      <c r="H37" s="1298"/>
      <c r="I37" s="1825"/>
      <c r="J37" s="1868"/>
      <c r="K37" s="1440"/>
      <c r="L37" s="1740"/>
      <c r="P37" s="1232"/>
      <c r="Q37" s="1241"/>
      <c r="R37" s="1211"/>
      <c r="S37" s="1234"/>
      <c r="T37" s="1220"/>
      <c r="U37" s="1235"/>
      <c r="V37" s="1232"/>
      <c r="W37" s="1269"/>
      <c r="X37" s="1269"/>
      <c r="Y37" s="1237"/>
      <c r="Z37" s="1441"/>
      <c r="AA37" s="1214"/>
      <c r="AB37" s="1221"/>
      <c r="AC37" s="1468"/>
      <c r="AD37" s="1269"/>
      <c r="AE37" s="1236"/>
      <c r="AF37" s="1236"/>
      <c r="AG37" s="1236"/>
      <c r="AH37" s="1236"/>
      <c r="AI37" s="1269"/>
      <c r="AJ37" s="1236"/>
      <c r="AK37" s="1236"/>
      <c r="AL37" s="1269"/>
      <c r="AM37" s="1236"/>
      <c r="AN37" s="1237"/>
      <c r="AO37" s="1464"/>
      <c r="AP37" s="1174"/>
      <c r="AQ37" s="1174"/>
      <c r="AR37" s="1174"/>
      <c r="AS37" s="1174">
        <f>AS36-AC34</f>
        <v>149047.5</v>
      </c>
      <c r="AT37" s="1179" t="s">
        <v>555</v>
      </c>
    </row>
    <row r="38" spans="2:45" s="1498" customFormat="1" ht="12.75">
      <c r="B38" s="1747" t="s">
        <v>764</v>
      </c>
      <c r="C38" s="1473"/>
      <c r="D38" s="1258"/>
      <c r="E38" s="1833"/>
      <c r="F38" s="1479"/>
      <c r="G38" s="1494"/>
      <c r="H38" s="1479"/>
      <c r="I38" s="1832">
        <f>SUM(I34:I36)</f>
        <v>182666.67</v>
      </c>
      <c r="J38" s="1873"/>
      <c r="K38" s="1476"/>
      <c r="L38" s="1748"/>
      <c r="M38" s="1477"/>
      <c r="N38" s="1477"/>
      <c r="O38" s="1477"/>
      <c r="P38" s="1259"/>
      <c r="Q38" s="1260"/>
      <c r="R38" s="1293"/>
      <c r="S38" s="1261"/>
      <c r="T38" s="1262"/>
      <c r="U38" s="1263"/>
      <c r="V38" s="1495"/>
      <c r="W38" s="1479"/>
      <c r="X38" s="1479"/>
      <c r="Y38" s="1480"/>
      <c r="Z38" s="1481">
        <f>SUM(Z34:Z36)</f>
        <v>1996490.5</v>
      </c>
      <c r="AA38" s="1252">
        <f>SUM(AA34:AA36)</f>
        <v>0</v>
      </c>
      <c r="AB38" s="1293">
        <f>SUM(AB34:AB36)</f>
        <v>1813823.83</v>
      </c>
      <c r="AC38" s="1252">
        <f>SUM(AC34:AC36)</f>
        <v>1204876</v>
      </c>
      <c r="AD38" s="1252">
        <f aca="true" t="shared" si="1" ref="AD38:AL38">SUM(AD34:AD36)</f>
        <v>0</v>
      </c>
      <c r="AE38" s="1252">
        <f t="shared" si="1"/>
        <v>0</v>
      </c>
      <c r="AF38" s="1252">
        <f t="shared" si="1"/>
        <v>0</v>
      </c>
      <c r="AG38" s="1252">
        <f t="shared" si="1"/>
        <v>0</v>
      </c>
      <c r="AH38" s="1252">
        <f t="shared" si="1"/>
        <v>0</v>
      </c>
      <c r="AI38" s="1252">
        <f t="shared" si="1"/>
        <v>0</v>
      </c>
      <c r="AJ38" s="1252">
        <f t="shared" si="1"/>
        <v>0</v>
      </c>
      <c r="AK38" s="1252">
        <f t="shared" si="1"/>
        <v>149047.5</v>
      </c>
      <c r="AL38" s="1252">
        <f t="shared" si="1"/>
        <v>0</v>
      </c>
      <c r="AM38" s="1252">
        <f>SUM(AM34:AM36)</f>
        <v>1353923.5</v>
      </c>
      <c r="AN38" s="1341"/>
      <c r="AO38" s="1496"/>
      <c r="AP38" s="1376">
        <f>SUM(AP34:AP36)</f>
        <v>0</v>
      </c>
      <c r="AQ38" s="1376">
        <f>SUM(AQ34:AQ36)</f>
        <v>1353922.5</v>
      </c>
      <c r="AR38" s="1376">
        <f>SUM(AR34:AR36)</f>
        <v>1</v>
      </c>
      <c r="AS38" s="1497">
        <f>+AM34-AS36</f>
        <v>0</v>
      </c>
    </row>
    <row r="39" spans="2:44" s="1444" customFormat="1" ht="12.75">
      <c r="B39" s="1743" t="s">
        <v>553</v>
      </c>
      <c r="C39" s="1382"/>
      <c r="D39" s="1499"/>
      <c r="E39" s="1834"/>
      <c r="F39" s="1500"/>
      <c r="G39" s="1500"/>
      <c r="H39" s="1501"/>
      <c r="I39" s="1835"/>
      <c r="J39" s="1874"/>
      <c r="K39" s="1502"/>
      <c r="L39" s="1750"/>
      <c r="M39" s="1503"/>
      <c r="N39" s="1503"/>
      <c r="O39" s="1503"/>
      <c r="P39" s="1209"/>
      <c r="Q39" s="1264"/>
      <c r="R39" s="1265"/>
      <c r="S39" s="1266"/>
      <c r="T39" s="1267"/>
      <c r="U39" s="1268"/>
      <c r="V39" s="1297"/>
      <c r="W39" s="1269"/>
      <c r="X39" s="1269"/>
      <c r="Y39" s="1270"/>
      <c r="Z39" s="1504"/>
      <c r="AA39" s="1269"/>
      <c r="AB39" s="1270"/>
      <c r="AC39" s="1505"/>
      <c r="AD39" s="1501"/>
      <c r="AE39" s="1501"/>
      <c r="AF39" s="1506"/>
      <c r="AG39" s="1501"/>
      <c r="AH39" s="1501"/>
      <c r="AI39" s="1501"/>
      <c r="AJ39" s="1501"/>
      <c r="AK39" s="1501"/>
      <c r="AL39" s="1501"/>
      <c r="AM39" s="1507"/>
      <c r="AN39" s="1508"/>
      <c r="AO39" s="1443"/>
      <c r="AP39" s="1509"/>
      <c r="AQ39" s="1509"/>
      <c r="AR39" s="1510"/>
    </row>
    <row r="40" spans="2:57" s="1444" customFormat="1" ht="39.75" customHeight="1">
      <c r="B40" s="1751"/>
      <c r="C40" s="1447">
        <v>51</v>
      </c>
      <c r="D40" s="1448" t="s">
        <v>510</v>
      </c>
      <c r="E40" s="1827">
        <v>5000000</v>
      </c>
      <c r="F40" s="1449" t="s">
        <v>183</v>
      </c>
      <c r="G40" s="1450">
        <f>I40/E40</f>
        <v>0.2</v>
      </c>
      <c r="H40" s="1229"/>
      <c r="I40" s="1828">
        <v>1000000</v>
      </c>
      <c r="J40" s="1511" t="s">
        <v>606</v>
      </c>
      <c r="K40" s="1511" t="s">
        <v>606</v>
      </c>
      <c r="L40" s="1749" t="s">
        <v>606</v>
      </c>
      <c r="M40" s="1238" t="s">
        <v>718</v>
      </c>
      <c r="N40" s="1255" t="s">
        <v>726</v>
      </c>
      <c r="O40" s="1238"/>
      <c r="P40" s="1271" t="s">
        <v>265</v>
      </c>
      <c r="Q40" s="1242" t="s">
        <v>265</v>
      </c>
      <c r="R40" s="1272" t="s">
        <v>265</v>
      </c>
      <c r="S40" s="1273" t="s">
        <v>265</v>
      </c>
      <c r="T40" s="1274" t="s">
        <v>265</v>
      </c>
      <c r="U40" s="1275" t="s">
        <v>265</v>
      </c>
      <c r="V40" s="1223">
        <f>SUM(W40:Y40)</f>
        <v>1500000</v>
      </c>
      <c r="W40" s="1229">
        <v>1000000</v>
      </c>
      <c r="X40" s="1229">
        <v>0</v>
      </c>
      <c r="Y40" s="1230">
        <v>500000</v>
      </c>
      <c r="Z40" s="1453">
        <f>V40</f>
        <v>1500000</v>
      </c>
      <c r="AA40" s="1229">
        <f>X40</f>
        <v>0</v>
      </c>
      <c r="AB40" s="1230">
        <f>Y40</f>
        <v>500000</v>
      </c>
      <c r="AC40" s="1454">
        <f>V40+'Variazioni di valore IAS-IFRS'!P48</f>
        <v>1</v>
      </c>
      <c r="AD40" s="1229"/>
      <c r="AE40" s="1229"/>
      <c r="AF40" s="1229"/>
      <c r="AG40" s="1229"/>
      <c r="AH40" s="1229"/>
      <c r="AI40" s="1229"/>
      <c r="AJ40" s="1229"/>
      <c r="AK40" s="1229"/>
      <c r="AL40" s="1229"/>
      <c r="AM40" s="1455">
        <f>SUM(AC40:AL40)</f>
        <v>1</v>
      </c>
      <c r="AN40" s="1456"/>
      <c r="AO40" s="1457"/>
      <c r="AP40" s="1459"/>
      <c r="AQ40" s="1459"/>
      <c r="AR40" s="1459">
        <f>AM40</f>
        <v>1</v>
      </c>
      <c r="AS40" s="1179"/>
      <c r="AT40" s="1174"/>
      <c r="AU40" s="1179"/>
      <c r="AV40" s="1179"/>
      <c r="AW40" s="1179"/>
      <c r="AX40" s="1179"/>
      <c r="AY40" s="1179"/>
      <c r="AZ40" s="1179"/>
      <c r="BA40" s="1179"/>
      <c r="BB40" s="1179"/>
      <c r="BC40" s="1179"/>
      <c r="BD40" s="1179"/>
      <c r="BE40" s="1179"/>
    </row>
    <row r="41" spans="2:57" s="1444" customFormat="1" ht="12.75">
      <c r="B41" s="1743"/>
      <c r="C41" s="1382"/>
      <c r="D41" s="1231" t="s">
        <v>483</v>
      </c>
      <c r="E41" s="1829"/>
      <c r="F41" s="1214"/>
      <c r="G41" s="1460"/>
      <c r="H41" s="1298"/>
      <c r="I41" s="1825"/>
      <c r="J41" s="1868"/>
      <c r="K41" s="1440"/>
      <c r="L41" s="1740"/>
      <c r="M41" s="1382"/>
      <c r="N41" s="1382"/>
      <c r="O41" s="1382"/>
      <c r="P41" s="1232"/>
      <c r="Q41" s="1233"/>
      <c r="R41" s="1211"/>
      <c r="S41" s="1234"/>
      <c r="T41" s="1220"/>
      <c r="U41" s="1235"/>
      <c r="V41" s="1232"/>
      <c r="W41" s="1269"/>
      <c r="X41" s="1269"/>
      <c r="Y41" s="1237"/>
      <c r="Z41" s="1441"/>
      <c r="AA41" s="1214"/>
      <c r="AB41" s="1221"/>
      <c r="AC41" s="1297"/>
      <c r="AD41" s="1269"/>
      <c r="AE41" s="1236"/>
      <c r="AF41" s="1236"/>
      <c r="AG41" s="1236"/>
      <c r="AH41" s="1236"/>
      <c r="AI41" s="1269"/>
      <c r="AJ41" s="1236"/>
      <c r="AK41" s="1236"/>
      <c r="AL41" s="1269"/>
      <c r="AM41" s="1236"/>
      <c r="AN41" s="1237"/>
      <c r="AO41" s="1464"/>
      <c r="AP41" s="1174"/>
      <c r="AQ41" s="1174"/>
      <c r="AR41" s="1174"/>
      <c r="AS41" s="1179"/>
      <c r="AT41" s="1179"/>
      <c r="AU41" s="1179"/>
      <c r="AV41" s="1179"/>
      <c r="AW41" s="1179"/>
      <c r="AX41" s="1179"/>
      <c r="AY41" s="1179"/>
      <c r="AZ41" s="1179"/>
      <c r="BA41" s="1179"/>
      <c r="BB41" s="1179"/>
      <c r="BC41" s="1179"/>
      <c r="BD41" s="1179"/>
      <c r="BE41" s="1179"/>
    </row>
    <row r="42" spans="2:46" ht="39.75" customHeight="1">
      <c r="B42" s="1741"/>
      <c r="C42" s="1447">
        <v>52</v>
      </c>
      <c r="D42" s="1448" t="s">
        <v>502</v>
      </c>
      <c r="E42" s="1827">
        <v>1000000</v>
      </c>
      <c r="F42" s="1449" t="s">
        <v>183</v>
      </c>
      <c r="G42" s="1450">
        <f>I42/E42</f>
        <v>0.38</v>
      </c>
      <c r="H42" s="1229"/>
      <c r="I42" s="1828">
        <v>380000</v>
      </c>
      <c r="J42" s="1872">
        <v>1947</v>
      </c>
      <c r="K42" s="1469">
        <v>-1105</v>
      </c>
      <c r="L42" s="1746">
        <v>-8947</v>
      </c>
      <c r="M42" s="1238" t="s">
        <v>718</v>
      </c>
      <c r="N42" s="1238" t="s">
        <v>727</v>
      </c>
      <c r="O42" s="1238" t="s">
        <v>744</v>
      </c>
      <c r="P42" s="1223">
        <f>'Dettaglio PN - Info per N.I.'!C66</f>
        <v>1883635</v>
      </c>
      <c r="Q42" s="1239">
        <v>16</v>
      </c>
      <c r="R42" s="1225">
        <f>'Dettaglio PN - Info per N.I.'!E66</f>
        <v>715781.3</v>
      </c>
      <c r="S42" s="1226" t="s">
        <v>606</v>
      </c>
      <c r="T42" s="1240">
        <v>2016</v>
      </c>
      <c r="U42" s="1228" t="s">
        <v>606</v>
      </c>
      <c r="V42" s="1223">
        <f>SUM(W42:Y42)</f>
        <v>800000</v>
      </c>
      <c r="W42" s="1229">
        <v>380000</v>
      </c>
      <c r="X42" s="1229">
        <v>0</v>
      </c>
      <c r="Y42" s="1230">
        <v>420000</v>
      </c>
      <c r="Z42" s="1453">
        <f>V42</f>
        <v>800000</v>
      </c>
      <c r="AA42" s="1229">
        <f>X42</f>
        <v>0</v>
      </c>
      <c r="AB42" s="1230">
        <f>Y42</f>
        <v>420000</v>
      </c>
      <c r="AC42" s="1454">
        <f>V42+'Variazioni di valore IAS-IFRS'!Q59</f>
        <v>292000</v>
      </c>
      <c r="AD42" s="1229"/>
      <c r="AE42" s="1229"/>
      <c r="AF42" s="1229"/>
      <c r="AG42" s="1229"/>
      <c r="AH42" s="1229"/>
      <c r="AI42" s="1229"/>
      <c r="AJ42" s="1229"/>
      <c r="AK42" s="1229"/>
      <c r="AL42" s="1229"/>
      <c r="AM42" s="1455">
        <f>SUM(AC42:AL42)</f>
        <v>292000</v>
      </c>
      <c r="AN42" s="1456"/>
      <c r="AO42" s="1457"/>
      <c r="AP42" s="1459"/>
      <c r="AQ42" s="1459"/>
      <c r="AR42" s="1459">
        <f>AM42</f>
        <v>292000</v>
      </c>
      <c r="AT42" s="1174"/>
    </row>
    <row r="43" spans="2:44" ht="12.75">
      <c r="B43" s="1743"/>
      <c r="D43" s="1231" t="s">
        <v>476</v>
      </c>
      <c r="E43" s="1829"/>
      <c r="F43" s="1214"/>
      <c r="G43" s="1460"/>
      <c r="H43" s="1298"/>
      <c r="I43" s="1825"/>
      <c r="J43" s="1868"/>
      <c r="K43" s="1440"/>
      <c r="L43" s="1740"/>
      <c r="P43" s="1232"/>
      <c r="Q43" s="1233"/>
      <c r="R43" s="1211"/>
      <c r="S43" s="1234"/>
      <c r="T43" s="1220"/>
      <c r="U43" s="1235"/>
      <c r="V43" s="1232"/>
      <c r="W43" s="1269"/>
      <c r="X43" s="1269"/>
      <c r="Y43" s="1237"/>
      <c r="Z43" s="1441"/>
      <c r="AA43" s="1236"/>
      <c r="AB43" s="1237"/>
      <c r="AC43" s="1297"/>
      <c r="AD43" s="1269"/>
      <c r="AE43" s="1236"/>
      <c r="AF43" s="1236"/>
      <c r="AG43" s="1236"/>
      <c r="AH43" s="1236"/>
      <c r="AI43" s="1269"/>
      <c r="AJ43" s="1236"/>
      <c r="AK43" s="1236"/>
      <c r="AL43" s="1269"/>
      <c r="AM43" s="1236"/>
      <c r="AN43" s="1237"/>
      <c r="AO43" s="1464"/>
      <c r="AP43" s="1174"/>
      <c r="AQ43" s="1174"/>
      <c r="AR43" s="1174"/>
    </row>
    <row r="44" spans="2:46" ht="39.75" customHeight="1">
      <c r="B44" s="1741"/>
      <c r="C44" s="1447">
        <v>53</v>
      </c>
      <c r="D44" s="1448" t="s">
        <v>496</v>
      </c>
      <c r="E44" s="1827">
        <v>176230</v>
      </c>
      <c r="F44" s="1449" t="s">
        <v>183</v>
      </c>
      <c r="G44" s="1450">
        <f>I44/E44</f>
        <v>0.2117353458548488</v>
      </c>
      <c r="H44" s="1229"/>
      <c r="I44" s="1828">
        <v>37314.12</v>
      </c>
      <c r="J44" s="1872">
        <v>-1107318</v>
      </c>
      <c r="K44" s="1469">
        <v>245421</v>
      </c>
      <c r="L44" s="1746">
        <v>-151614</v>
      </c>
      <c r="M44" s="1238" t="s">
        <v>718</v>
      </c>
      <c r="N44" s="1238" t="s">
        <v>723</v>
      </c>
      <c r="O44" s="1238"/>
      <c r="P44" s="1223">
        <f>'Dettaglio PN - Info per N.I.'!C17</f>
        <v>2081891</v>
      </c>
      <c r="Q44" s="1239">
        <v>16</v>
      </c>
      <c r="R44" s="1225">
        <f>'Dettaglio PN - Info per N.I.'!E17</f>
        <v>440809.91</v>
      </c>
      <c r="S44" s="1226">
        <v>2081891</v>
      </c>
      <c r="T44" s="1227">
        <v>2016</v>
      </c>
      <c r="U44" s="1243">
        <f>ROUND(S44*G44,2)</f>
        <v>440809.91</v>
      </c>
      <c r="V44" s="1223">
        <f>400000+(49999.95*3+49999.96+42816.93)</f>
        <v>642816.74</v>
      </c>
      <c r="W44" s="1229">
        <f>(35246.06+2068.06)</f>
        <v>37314.119999999995</v>
      </c>
      <c r="X44" s="1229">
        <v>0</v>
      </c>
      <c r="Y44" s="1230">
        <f>V44-W44</f>
        <v>605502.62</v>
      </c>
      <c r="Z44" s="1453">
        <f>V44</f>
        <v>642816.74</v>
      </c>
      <c r="AA44" s="1229">
        <f>X44</f>
        <v>0</v>
      </c>
      <c r="AB44" s="1230">
        <f>Y44</f>
        <v>605502.62</v>
      </c>
      <c r="AC44" s="1454">
        <f>V44</f>
        <v>642816.74</v>
      </c>
      <c r="AD44" s="1229"/>
      <c r="AE44" s="1229"/>
      <c r="AF44" s="1229"/>
      <c r="AG44" s="1229"/>
      <c r="AH44" s="1229"/>
      <c r="AI44" s="1229"/>
      <c r="AJ44" s="1229"/>
      <c r="AK44" s="1229"/>
      <c r="AL44" s="1229"/>
      <c r="AM44" s="1455">
        <f>SUM(AC44:AL44)</f>
        <v>642816.74</v>
      </c>
      <c r="AN44" s="1456"/>
      <c r="AO44" s="1457"/>
      <c r="AP44" s="1459"/>
      <c r="AQ44" s="1459"/>
      <c r="AR44" s="1459">
        <f>AM44</f>
        <v>642816.74</v>
      </c>
      <c r="AT44" s="1174"/>
    </row>
    <row r="45" spans="2:44" ht="12.75">
      <c r="B45" s="1743"/>
      <c r="D45" s="1231" t="s">
        <v>472</v>
      </c>
      <c r="E45" s="1829"/>
      <c r="F45" s="1214"/>
      <c r="G45" s="1214"/>
      <c r="H45" s="1298"/>
      <c r="I45" s="1836"/>
      <c r="J45" s="1875"/>
      <c r="K45" s="1512"/>
      <c r="L45" s="1752"/>
      <c r="M45" s="1513"/>
      <c r="N45" s="1513"/>
      <c r="O45" s="1513"/>
      <c r="P45" s="1232"/>
      <c r="Q45" s="1245"/>
      <c r="R45" s="1211"/>
      <c r="S45" s="1234"/>
      <c r="T45" s="1220"/>
      <c r="U45" s="1235"/>
      <c r="V45" s="1232"/>
      <c r="W45" s="1269"/>
      <c r="X45" s="1269"/>
      <c r="Y45" s="1237"/>
      <c r="Z45" s="1441"/>
      <c r="AA45" s="1236"/>
      <c r="AB45" s="1237"/>
      <c r="AC45" s="1297"/>
      <c r="AD45" s="1269"/>
      <c r="AE45" s="1236"/>
      <c r="AF45" s="1236"/>
      <c r="AG45" s="1236"/>
      <c r="AH45" s="1236"/>
      <c r="AI45" s="1269"/>
      <c r="AJ45" s="1236"/>
      <c r="AK45" s="1236"/>
      <c r="AL45" s="1269"/>
      <c r="AM45" s="1236"/>
      <c r="AN45" s="1237"/>
      <c r="AO45" s="1464"/>
      <c r="AP45" s="1174"/>
      <c r="AQ45" s="1174"/>
      <c r="AR45" s="1174"/>
    </row>
    <row r="46" spans="2:44" ht="39.75" customHeight="1">
      <c r="B46" s="1741"/>
      <c r="C46" s="1447">
        <v>69</v>
      </c>
      <c r="D46" s="1448" t="s">
        <v>694</v>
      </c>
      <c r="E46" s="1827">
        <f>(1710350+300000)</f>
        <v>2010350</v>
      </c>
      <c r="F46" s="1466">
        <v>800000</v>
      </c>
      <c r="G46" s="1450">
        <f>F46/F47</f>
        <v>0.39794065709951004</v>
      </c>
      <c r="H46" s="1229">
        <v>1</v>
      </c>
      <c r="I46" s="1828">
        <f>F46*H46</f>
        <v>800000</v>
      </c>
      <c r="J46" s="1869" t="s">
        <v>606</v>
      </c>
      <c r="K46" s="1469">
        <v>-420616</v>
      </c>
      <c r="L46" s="1746">
        <v>-24939</v>
      </c>
      <c r="M46" s="1238" t="s">
        <v>718</v>
      </c>
      <c r="N46" s="1238" t="s">
        <v>730</v>
      </c>
      <c r="O46" s="1238"/>
      <c r="P46" s="1223">
        <f>'Dettaglio PN - Info per N.I.'!C109</f>
        <v>1558404</v>
      </c>
      <c r="Q46" s="1242">
        <v>15</v>
      </c>
      <c r="R46" s="1225">
        <f>'Dettaglio PN - Info per N.I.'!E109</f>
        <v>620152.31</v>
      </c>
      <c r="S46" s="1226">
        <f>1558405.5-195586.65</f>
        <v>1362818.85</v>
      </c>
      <c r="T46" s="1240">
        <v>2016</v>
      </c>
      <c r="U46" s="1228">
        <f>ROUND(S46*G46,2)</f>
        <v>542321.03</v>
      </c>
      <c r="V46" s="1223">
        <f>SUM(W46:Y46)</f>
        <v>800000</v>
      </c>
      <c r="W46" s="1229">
        <f>(500000+300000)</f>
        <v>800000</v>
      </c>
      <c r="X46" s="1229">
        <v>0</v>
      </c>
      <c r="Y46" s="1230">
        <v>0</v>
      </c>
      <c r="Z46" s="1471">
        <f>V46</f>
        <v>800000</v>
      </c>
      <c r="AA46" s="1229">
        <f>X46</f>
        <v>0</v>
      </c>
      <c r="AB46" s="1230">
        <f>Y46</f>
        <v>0</v>
      </c>
      <c r="AC46" s="1472">
        <f>V46+'Variazioni di valore IAS-IFRS'!Q92</f>
        <v>1</v>
      </c>
      <c r="AD46" s="1229"/>
      <c r="AE46" s="1229"/>
      <c r="AF46" s="1229"/>
      <c r="AG46" s="1229"/>
      <c r="AH46" s="1229"/>
      <c r="AI46" s="1229"/>
      <c r="AJ46" s="1229"/>
      <c r="AK46" s="1229"/>
      <c r="AL46" s="1229"/>
      <c r="AM46" s="1455">
        <f>SUM(AC46:AL46)</f>
        <v>1</v>
      </c>
      <c r="AN46" s="1230"/>
      <c r="AO46" s="1457"/>
      <c r="AP46" s="1459"/>
      <c r="AQ46" s="1459"/>
      <c r="AR46" s="1459">
        <f>AM46</f>
        <v>1</v>
      </c>
    </row>
    <row r="47" spans="2:44" ht="12.75">
      <c r="B47" s="1743"/>
      <c r="D47" s="1231" t="s">
        <v>695</v>
      </c>
      <c r="E47" s="1829"/>
      <c r="F47" s="1214">
        <f>E46/H46</f>
        <v>2010350</v>
      </c>
      <c r="G47" s="1460"/>
      <c r="H47" s="1298"/>
      <c r="I47" s="1825"/>
      <c r="J47" s="1868"/>
      <c r="K47" s="1440"/>
      <c r="L47" s="1740"/>
      <c r="P47" s="1232"/>
      <c r="Q47" s="1241"/>
      <c r="R47" s="1211"/>
      <c r="S47" s="1234"/>
      <c r="T47" s="1220"/>
      <c r="U47" s="1235"/>
      <c r="V47" s="1232"/>
      <c r="W47" s="1269"/>
      <c r="X47" s="1269"/>
      <c r="Y47" s="1237"/>
      <c r="Z47" s="1441"/>
      <c r="AA47" s="1236"/>
      <c r="AB47" s="1237"/>
      <c r="AC47" s="1468"/>
      <c r="AD47" s="1269"/>
      <c r="AE47" s="1236"/>
      <c r="AF47" s="1236"/>
      <c r="AG47" s="1236"/>
      <c r="AH47" s="1236"/>
      <c r="AI47" s="1269"/>
      <c r="AJ47" s="1236"/>
      <c r="AK47" s="1236"/>
      <c r="AL47" s="1269"/>
      <c r="AM47" s="1236"/>
      <c r="AN47" s="1237"/>
      <c r="AO47" s="1464"/>
      <c r="AP47" s="1174"/>
      <c r="AQ47" s="1174"/>
      <c r="AR47" s="1174"/>
    </row>
    <row r="48" spans="2:57" s="1484" customFormat="1" ht="12.75">
      <c r="B48" s="1747" t="s">
        <v>765</v>
      </c>
      <c r="C48" s="1473"/>
      <c r="D48" s="1258"/>
      <c r="E48" s="1833"/>
      <c r="F48" s="1514"/>
      <c r="G48" s="1494"/>
      <c r="H48" s="1479"/>
      <c r="I48" s="1832">
        <f>SUM(I39:I47)</f>
        <v>2217314.12</v>
      </c>
      <c r="J48" s="1873"/>
      <c r="K48" s="1476"/>
      <c r="L48" s="1748"/>
      <c r="M48" s="1477"/>
      <c r="N48" s="1477"/>
      <c r="O48" s="1477"/>
      <c r="P48" s="1259"/>
      <c r="Q48" s="1260"/>
      <c r="R48" s="1293"/>
      <c r="S48" s="1261"/>
      <c r="T48" s="1262"/>
      <c r="U48" s="1263"/>
      <c r="V48" s="1495"/>
      <c r="W48" s="1479"/>
      <c r="X48" s="1479"/>
      <c r="Y48" s="1480"/>
      <c r="Z48" s="1481">
        <f>SUM(Z39:Z47)</f>
        <v>3742816.74</v>
      </c>
      <c r="AA48" s="1481">
        <f>SUM(AA39:AA47)</f>
        <v>0</v>
      </c>
      <c r="AB48" s="1481">
        <f>SUM(AB39:AB47)</f>
        <v>1525502.62</v>
      </c>
      <c r="AC48" s="1247">
        <f>SUM(AC40:AC46)</f>
        <v>934818.74</v>
      </c>
      <c r="AD48" s="1252">
        <f>SUM(AD40:AD46)</f>
        <v>0</v>
      </c>
      <c r="AE48" s="1252">
        <f aca="true" t="shared" si="2" ref="AE48:AL48">SUM(AE40:AE46)</f>
        <v>0</v>
      </c>
      <c r="AF48" s="1252">
        <f t="shared" si="2"/>
        <v>0</v>
      </c>
      <c r="AG48" s="1252">
        <f t="shared" si="2"/>
        <v>0</v>
      </c>
      <c r="AH48" s="1252">
        <f t="shared" si="2"/>
        <v>0</v>
      </c>
      <c r="AI48" s="1252">
        <f t="shared" si="2"/>
        <v>0</v>
      </c>
      <c r="AJ48" s="1252">
        <f t="shared" si="2"/>
        <v>0</v>
      </c>
      <c r="AK48" s="1252">
        <f t="shared" si="2"/>
        <v>0</v>
      </c>
      <c r="AL48" s="1252">
        <f t="shared" si="2"/>
        <v>0</v>
      </c>
      <c r="AM48" s="1252">
        <f>SUM(AM40:AM46)</f>
        <v>934818.74</v>
      </c>
      <c r="AN48" s="1515"/>
      <c r="AO48" s="1496"/>
      <c r="AP48" s="1376">
        <f>SUM(AP40)</f>
        <v>0</v>
      </c>
      <c r="AQ48" s="1376">
        <f>SUM(AQ40)</f>
        <v>0</v>
      </c>
      <c r="AR48" s="1376">
        <f>SUM(AR40)</f>
        <v>1</v>
      </c>
      <c r="AS48" s="1498"/>
      <c r="AT48" s="1498"/>
      <c r="AU48" s="1498"/>
      <c r="AV48" s="1498"/>
      <c r="AW48" s="1498"/>
      <c r="AX48" s="1498"/>
      <c r="AY48" s="1498"/>
      <c r="AZ48" s="1498"/>
      <c r="BA48" s="1498"/>
      <c r="BB48" s="1498"/>
      <c r="BC48" s="1498"/>
      <c r="BD48" s="1498"/>
      <c r="BE48" s="1498"/>
    </row>
    <row r="49" spans="2:44" s="1531" customFormat="1" ht="49.5" customHeight="1">
      <c r="B49" s="1908" t="s">
        <v>185</v>
      </c>
      <c r="C49" s="1909"/>
      <c r="D49" s="1910"/>
      <c r="E49" s="1837"/>
      <c r="F49" s="1517"/>
      <c r="G49" s="1517"/>
      <c r="H49" s="1518"/>
      <c r="I49" s="1838">
        <f>SUM(I32,I38,I48)</f>
        <v>4336049.41</v>
      </c>
      <c r="J49" s="1876"/>
      <c r="K49" s="1519"/>
      <c r="L49" s="1753"/>
      <c r="M49" s="1520"/>
      <c r="N49" s="1520"/>
      <c r="O49" s="1520"/>
      <c r="P49" s="1516"/>
      <c r="Q49" s="1521"/>
      <c r="R49" s="1276"/>
      <c r="S49" s="1522"/>
      <c r="T49" s="1523"/>
      <c r="U49" s="1524"/>
      <c r="V49" s="1525"/>
      <c r="W49" s="1517"/>
      <c r="X49" s="1517"/>
      <c r="Y49" s="1526"/>
      <c r="Z49" s="1527">
        <f>SUM(Z32,Z38,Z48)</f>
        <v>13097170.15</v>
      </c>
      <c r="AA49" s="1528">
        <f aca="true" t="shared" si="3" ref="AA49:AM49">SUM(AA32,AA38,AA48)</f>
        <v>0</v>
      </c>
      <c r="AB49" s="1276">
        <f>SUM(AB32,AB38,AB48)</f>
        <v>8761120.74</v>
      </c>
      <c r="AC49" s="1516">
        <f>SUM(AC32,AC38,AC48)</f>
        <v>9860194.22</v>
      </c>
      <c r="AD49" s="1518">
        <f t="shared" si="3"/>
        <v>0</v>
      </c>
      <c r="AE49" s="1518">
        <f t="shared" si="3"/>
        <v>-1800000</v>
      </c>
      <c r="AF49" s="1518">
        <f t="shared" si="3"/>
        <v>546112.95</v>
      </c>
      <c r="AG49" s="1518">
        <f t="shared" si="3"/>
        <v>0</v>
      </c>
      <c r="AH49" s="1518">
        <f t="shared" si="3"/>
        <v>0</v>
      </c>
      <c r="AI49" s="1518">
        <f t="shared" si="3"/>
        <v>248250.48</v>
      </c>
      <c r="AJ49" s="1518">
        <f t="shared" si="3"/>
        <v>0</v>
      </c>
      <c r="AK49" s="1518">
        <f t="shared" si="3"/>
        <v>149047.5</v>
      </c>
      <c r="AL49" s="1518">
        <f t="shared" si="3"/>
        <v>0</v>
      </c>
      <c r="AM49" s="1518">
        <f t="shared" si="3"/>
        <v>9003605.15</v>
      </c>
      <c r="AN49" s="1276"/>
      <c r="AO49" s="1529"/>
      <c r="AP49" s="1530">
        <f>AP32+AP38+AP48</f>
        <v>0</v>
      </c>
      <c r="AQ49" s="1530">
        <f>AQ32+AQ38+AQ48</f>
        <v>1353922.5</v>
      </c>
      <c r="AR49" s="1530">
        <f>AR32+AR38+AR48</f>
        <v>6714864.91</v>
      </c>
    </row>
    <row r="50" spans="2:44" s="1444" customFormat="1" ht="12.75">
      <c r="B50" s="1754"/>
      <c r="C50" s="1532"/>
      <c r="D50" s="1533"/>
      <c r="E50" s="1839"/>
      <c r="F50" s="1535"/>
      <c r="G50" s="1535"/>
      <c r="H50" s="1535"/>
      <c r="I50" s="1840"/>
      <c r="J50" s="1877"/>
      <c r="K50" s="1536"/>
      <c r="L50" s="1755"/>
      <c r="M50" s="1537"/>
      <c r="N50" s="1537"/>
      <c r="O50" s="1537"/>
      <c r="P50" s="1217"/>
      <c r="Q50" s="1277"/>
      <c r="R50" s="1278"/>
      <c r="S50" s="1279"/>
      <c r="T50" s="1280"/>
      <c r="U50" s="1281"/>
      <c r="V50" s="1356"/>
      <c r="W50" s="1214"/>
      <c r="X50" s="1214"/>
      <c r="Y50" s="1221"/>
      <c r="Z50" s="1538"/>
      <c r="AA50" s="1236"/>
      <c r="AB50" s="1237"/>
      <c r="AC50" s="1534"/>
      <c r="AD50" s="1535"/>
      <c r="AE50" s="1535"/>
      <c r="AF50" s="1535"/>
      <c r="AG50" s="1535"/>
      <c r="AH50" s="1535"/>
      <c r="AI50" s="1535"/>
      <c r="AJ50" s="1535"/>
      <c r="AK50" s="1535"/>
      <c r="AL50" s="1535"/>
      <c r="AM50" s="1535"/>
      <c r="AN50" s="1539"/>
      <c r="AO50" s="1540"/>
      <c r="AP50" s="1541"/>
      <c r="AQ50" s="1541"/>
      <c r="AR50" s="1541"/>
    </row>
    <row r="51" spans="2:44" s="1444" customFormat="1" ht="43.5" customHeight="1">
      <c r="B51" s="1737" t="s">
        <v>224</v>
      </c>
      <c r="C51" s="1438"/>
      <c r="D51" s="1819"/>
      <c r="E51" s="1824"/>
      <c r="F51" s="1214"/>
      <c r="G51" s="1298"/>
      <c r="H51" s="1298"/>
      <c r="I51" s="1825"/>
      <c r="J51" s="1868"/>
      <c r="K51" s="1440"/>
      <c r="L51" s="1740"/>
      <c r="M51" s="1382"/>
      <c r="N51" s="1382"/>
      <c r="O51" s="1382"/>
      <c r="P51" s="1209"/>
      <c r="Q51" s="1210"/>
      <c r="R51" s="1211"/>
      <c r="S51" s="1212"/>
      <c r="T51" s="1220"/>
      <c r="U51" s="1178"/>
      <c r="V51" s="1297"/>
      <c r="W51" s="1269"/>
      <c r="X51" s="1269"/>
      <c r="Y51" s="1270"/>
      <c r="Z51" s="1441"/>
      <c r="AA51" s="1214"/>
      <c r="AB51" s="1221"/>
      <c r="AC51" s="1297"/>
      <c r="AD51" s="1269"/>
      <c r="AE51" s="1216"/>
      <c r="AF51" s="1236"/>
      <c r="AG51" s="1269"/>
      <c r="AH51" s="1269"/>
      <c r="AI51" s="1236"/>
      <c r="AJ51" s="1442"/>
      <c r="AK51" s="1236"/>
      <c r="AL51" s="1236"/>
      <c r="AM51" s="1216"/>
      <c r="AN51" s="1237"/>
      <c r="AO51" s="1443"/>
      <c r="AP51" s="1174"/>
      <c r="AQ51" s="1174"/>
      <c r="AR51" s="1174"/>
    </row>
    <row r="52" spans="2:44" s="1444" customFormat="1" ht="12.75">
      <c r="B52" s="1739" t="s">
        <v>553</v>
      </c>
      <c r="C52" s="1382"/>
      <c r="E52" s="1826"/>
      <c r="F52" s="1214"/>
      <c r="G52" s="1214"/>
      <c r="H52" s="1214"/>
      <c r="I52" s="1825"/>
      <c r="J52" s="1868"/>
      <c r="K52" s="1440"/>
      <c r="L52" s="1740"/>
      <c r="M52" s="1382"/>
      <c r="N52" s="1382"/>
      <c r="O52" s="1382"/>
      <c r="P52" s="1217"/>
      <c r="Q52" s="1210"/>
      <c r="R52" s="1218"/>
      <c r="S52" s="1219"/>
      <c r="T52" s="1220"/>
      <c r="U52" s="1178"/>
      <c r="V52" s="1232"/>
      <c r="W52" s="1236"/>
      <c r="X52" s="1236"/>
      <c r="Y52" s="1237"/>
      <c r="Z52" s="1446"/>
      <c r="AA52" s="1214"/>
      <c r="AB52" s="1221"/>
      <c r="AC52" s="1232"/>
      <c r="AD52" s="1236"/>
      <c r="AE52" s="1222"/>
      <c r="AF52" s="1236"/>
      <c r="AG52" s="1236"/>
      <c r="AH52" s="1236"/>
      <c r="AI52" s="1236"/>
      <c r="AJ52" s="1236"/>
      <c r="AK52" s="1236"/>
      <c r="AL52" s="1236"/>
      <c r="AM52" s="1222"/>
      <c r="AN52" s="1237"/>
      <c r="AO52" s="1403"/>
      <c r="AP52" s="1174"/>
      <c r="AQ52" s="1174"/>
      <c r="AR52" s="1174"/>
    </row>
    <row r="53" spans="2:46" s="1444" customFormat="1" ht="39.75" customHeight="1">
      <c r="B53" s="1756"/>
      <c r="C53" s="1542">
        <v>50</v>
      </c>
      <c r="D53" s="1543" t="s">
        <v>701</v>
      </c>
      <c r="E53" s="1841">
        <v>1282000</v>
      </c>
      <c r="F53" s="1545" t="s">
        <v>183</v>
      </c>
      <c r="G53" s="1546">
        <f>I53/E53</f>
        <v>0.21996879875195008</v>
      </c>
      <c r="H53" s="1287">
        <v>100</v>
      </c>
      <c r="I53" s="1842">
        <v>282000</v>
      </c>
      <c r="J53" s="1878">
        <v>-3067572</v>
      </c>
      <c r="K53" s="1547">
        <v>378101</v>
      </c>
      <c r="L53" s="1757">
        <v>131756</v>
      </c>
      <c r="M53" s="1548" t="s">
        <v>718</v>
      </c>
      <c r="N53" s="1548" t="s">
        <v>731</v>
      </c>
      <c r="O53" s="1548"/>
      <c r="P53" s="1282">
        <f>'Dettaglio PN - Info per N.I.'!C150</f>
        <v>132780</v>
      </c>
      <c r="Q53" s="1283">
        <v>16</v>
      </c>
      <c r="R53" s="1225">
        <f>'Dettaglio PN - Info per N.I.'!E26</f>
        <v>0</v>
      </c>
      <c r="S53" s="1284">
        <v>3225092</v>
      </c>
      <c r="T53" s="1285">
        <v>2016</v>
      </c>
      <c r="U53" s="1286">
        <f>ROUND(S53*G53,2)</f>
        <v>709419.61</v>
      </c>
      <c r="V53" s="1544">
        <f>SUM(W53:Y53)</f>
        <v>1000000</v>
      </c>
      <c r="W53" s="1287">
        <v>282000</v>
      </c>
      <c r="X53" s="1287">
        <v>0</v>
      </c>
      <c r="Y53" s="1288">
        <v>718000</v>
      </c>
      <c r="Z53" s="1549">
        <f>V53</f>
        <v>1000000</v>
      </c>
      <c r="AA53" s="1287">
        <f>X53</f>
        <v>0</v>
      </c>
      <c r="AB53" s="1288">
        <f>Y53</f>
        <v>718000</v>
      </c>
      <c r="AC53" s="1550">
        <f>V53</f>
        <v>1000000</v>
      </c>
      <c r="AD53" s="1287"/>
      <c r="AE53" s="1287"/>
      <c r="AF53" s="1287"/>
      <c r="AG53" s="1287"/>
      <c r="AH53" s="1287"/>
      <c r="AI53" s="1287">
        <f>'Variazioni di valore IAS-IFRS'!R25</f>
        <v>-999999</v>
      </c>
      <c r="AJ53" s="1287"/>
      <c r="AK53" s="1287"/>
      <c r="AL53" s="1287"/>
      <c r="AM53" s="1551">
        <f>SUM(AC53:AL53)</f>
        <v>1</v>
      </c>
      <c r="AN53" s="1552"/>
      <c r="AO53" s="1553"/>
      <c r="AP53" s="1554"/>
      <c r="AQ53" s="1554"/>
      <c r="AR53" s="1555">
        <f>AM53</f>
        <v>1</v>
      </c>
      <c r="AT53" s="1174"/>
    </row>
    <row r="54" spans="2:44" s="1444" customFormat="1" ht="12.75">
      <c r="B54" s="1743"/>
      <c r="C54" s="1382"/>
      <c r="D54" s="1231" t="s">
        <v>773</v>
      </c>
      <c r="E54" s="1829"/>
      <c r="F54" s="1214"/>
      <c r="G54" s="1298"/>
      <c r="H54" s="1298"/>
      <c r="I54" s="1825"/>
      <c r="J54" s="1868"/>
      <c r="K54" s="1440"/>
      <c r="L54" s="1740"/>
      <c r="M54" s="1382"/>
      <c r="N54" s="1382"/>
      <c r="O54" s="1382"/>
      <c r="P54" s="1232"/>
      <c r="Q54" s="1233"/>
      <c r="R54" s="1211"/>
      <c r="S54" s="1212"/>
      <c r="T54" s="1220"/>
      <c r="U54" s="1178"/>
      <c r="V54" s="1232"/>
      <c r="W54" s="1269"/>
      <c r="X54" s="1269"/>
      <c r="Y54" s="1237"/>
      <c r="Z54" s="1441"/>
      <c r="AA54" s="1214"/>
      <c r="AB54" s="1221"/>
      <c r="AC54" s="1297"/>
      <c r="AD54" s="1269"/>
      <c r="AE54" s="1236"/>
      <c r="AF54" s="1269"/>
      <c r="AG54" s="1269"/>
      <c r="AH54" s="1269"/>
      <c r="AI54" s="1269"/>
      <c r="AJ54" s="1236"/>
      <c r="AK54" s="1236"/>
      <c r="AL54" s="1269"/>
      <c r="AM54" s="1236"/>
      <c r="AN54" s="1237"/>
      <c r="AO54" s="1464"/>
      <c r="AP54" s="1174"/>
      <c r="AQ54" s="1174"/>
      <c r="AR54" s="1174"/>
    </row>
    <row r="55" spans="2:44" s="1484" customFormat="1" ht="12.75">
      <c r="B55" s="1747" t="s">
        <v>765</v>
      </c>
      <c r="C55" s="1473"/>
      <c r="D55" s="1474"/>
      <c r="E55" s="1831"/>
      <c r="F55" s="1475"/>
      <c r="G55" s="1475"/>
      <c r="H55" s="1252"/>
      <c r="I55" s="1832">
        <f>SUM(I53)</f>
        <v>282000</v>
      </c>
      <c r="J55" s="1873"/>
      <c r="K55" s="1476"/>
      <c r="L55" s="1748"/>
      <c r="M55" s="1477"/>
      <c r="N55" s="1477"/>
      <c r="O55" s="1477"/>
      <c r="P55" s="1247"/>
      <c r="Q55" s="1289"/>
      <c r="R55" s="1290"/>
      <c r="S55" s="1291"/>
      <c r="T55" s="1250"/>
      <c r="U55" s="1292"/>
      <c r="V55" s="1478"/>
      <c r="W55" s="1479"/>
      <c r="X55" s="1479"/>
      <c r="Y55" s="1556"/>
      <c r="Z55" s="1557">
        <f>SUM(Z53)</f>
        <v>1000000</v>
      </c>
      <c r="AA55" s="1252">
        <f>SUM(AA53)</f>
        <v>0</v>
      </c>
      <c r="AB55" s="1293">
        <f>SUM(AB53)</f>
        <v>718000</v>
      </c>
      <c r="AC55" s="1247">
        <f>SUM(AC53)</f>
        <v>1000000</v>
      </c>
      <c r="AD55" s="1252">
        <f aca="true" t="shared" si="4" ref="AD55:AM55">SUM(AD53)</f>
        <v>0</v>
      </c>
      <c r="AE55" s="1252">
        <f t="shared" si="4"/>
        <v>0</v>
      </c>
      <c r="AF55" s="1252">
        <f t="shared" si="4"/>
        <v>0</v>
      </c>
      <c r="AG55" s="1252">
        <f t="shared" si="4"/>
        <v>0</v>
      </c>
      <c r="AH55" s="1252">
        <f t="shared" si="4"/>
        <v>0</v>
      </c>
      <c r="AI55" s="1252">
        <f t="shared" si="4"/>
        <v>-999999</v>
      </c>
      <c r="AJ55" s="1252">
        <f t="shared" si="4"/>
        <v>0</v>
      </c>
      <c r="AK55" s="1252">
        <f t="shared" si="4"/>
        <v>0</v>
      </c>
      <c r="AL55" s="1252">
        <f t="shared" si="4"/>
        <v>0</v>
      </c>
      <c r="AM55" s="1252">
        <f t="shared" si="4"/>
        <v>1</v>
      </c>
      <c r="AN55" s="1293"/>
      <c r="AO55" s="1558"/>
      <c r="AP55" s="1376">
        <f>AP53</f>
        <v>0</v>
      </c>
      <c r="AQ55" s="1376">
        <f>AQ53</f>
        <v>0</v>
      </c>
      <c r="AR55" s="1376">
        <f>AR53</f>
        <v>1</v>
      </c>
    </row>
    <row r="56" spans="2:44" s="1531" customFormat="1" ht="49.5" customHeight="1">
      <c r="B56" s="1758" t="s">
        <v>235</v>
      </c>
      <c r="C56" s="1559"/>
      <c r="D56" s="1560"/>
      <c r="E56" s="1843"/>
      <c r="F56" s="1562"/>
      <c r="G56" s="1562"/>
      <c r="H56" s="1294"/>
      <c r="I56" s="1844">
        <f>SUM(I55)</f>
        <v>282000</v>
      </c>
      <c r="J56" s="1879"/>
      <c r="K56" s="1563"/>
      <c r="L56" s="1759"/>
      <c r="M56" s="1564"/>
      <c r="N56" s="1564"/>
      <c r="O56" s="1564"/>
      <c r="P56" s="1561"/>
      <c r="Q56" s="1565"/>
      <c r="R56" s="1566"/>
      <c r="S56" s="1567"/>
      <c r="T56" s="1568"/>
      <c r="U56" s="1569"/>
      <c r="V56" s="1570"/>
      <c r="W56" s="1562"/>
      <c r="X56" s="1562"/>
      <c r="Y56" s="1571"/>
      <c r="Z56" s="1572">
        <f>SUM(Z55)</f>
        <v>1000000</v>
      </c>
      <c r="AA56" s="1294">
        <f>SUM(AA55)</f>
        <v>0</v>
      </c>
      <c r="AB56" s="1295">
        <f>SUM(AB55)</f>
        <v>718000</v>
      </c>
      <c r="AC56" s="1561">
        <f aca="true" t="shared" si="5" ref="AC56:AL56">SUM(AC55)</f>
        <v>1000000</v>
      </c>
      <c r="AD56" s="1294">
        <f t="shared" si="5"/>
        <v>0</v>
      </c>
      <c r="AE56" s="1294">
        <f t="shared" si="5"/>
        <v>0</v>
      </c>
      <c r="AF56" s="1294">
        <f t="shared" si="5"/>
        <v>0</v>
      </c>
      <c r="AG56" s="1294">
        <f t="shared" si="5"/>
        <v>0</v>
      </c>
      <c r="AH56" s="1294">
        <f>SUM(AH55)</f>
        <v>0</v>
      </c>
      <c r="AI56" s="1294">
        <f t="shared" si="5"/>
        <v>-999999</v>
      </c>
      <c r="AJ56" s="1294">
        <f t="shared" si="5"/>
        <v>0</v>
      </c>
      <c r="AK56" s="1294">
        <f t="shared" si="5"/>
        <v>0</v>
      </c>
      <c r="AL56" s="1294">
        <f t="shared" si="5"/>
        <v>0</v>
      </c>
      <c r="AM56" s="1294">
        <f>SUM(AM55)</f>
        <v>1</v>
      </c>
      <c r="AN56" s="1295"/>
      <c r="AO56" s="1573"/>
      <c r="AP56" s="1574">
        <f>SUM(AP55)</f>
        <v>0</v>
      </c>
      <c r="AQ56" s="1574">
        <f>SUM(AQ55)</f>
        <v>0</v>
      </c>
      <c r="AR56" s="1574">
        <f>SUM(AR55)</f>
        <v>1</v>
      </c>
    </row>
    <row r="57" spans="2:44" ht="12.75">
      <c r="B57" s="1739"/>
      <c r="D57" s="1296"/>
      <c r="E57" s="1826"/>
      <c r="F57" s="1214"/>
      <c r="G57" s="1214"/>
      <c r="H57" s="1214"/>
      <c r="I57" s="1825"/>
      <c r="J57" s="1868"/>
      <c r="K57" s="1440"/>
      <c r="L57" s="1740"/>
      <c r="P57" s="1232"/>
      <c r="Q57" s="1210"/>
      <c r="R57" s="1218"/>
      <c r="S57" s="1219"/>
      <c r="T57" s="1220"/>
      <c r="V57" s="1356"/>
      <c r="W57" s="1214"/>
      <c r="X57" s="1214"/>
      <c r="Y57" s="1221"/>
      <c r="Z57" s="1446"/>
      <c r="AA57" s="1214"/>
      <c r="AB57" s="1221"/>
      <c r="AC57" s="1575"/>
      <c r="AD57" s="1236"/>
      <c r="AE57" s="1236"/>
      <c r="AF57" s="1236"/>
      <c r="AG57" s="1236"/>
      <c r="AH57" s="1236"/>
      <c r="AI57" s="1236"/>
      <c r="AJ57" s="1236"/>
      <c r="AK57" s="1236"/>
      <c r="AL57" s="1236"/>
      <c r="AM57" s="1487"/>
      <c r="AN57" s="1237"/>
      <c r="AO57" s="1403"/>
      <c r="AP57" s="1174"/>
      <c r="AQ57" s="1174"/>
      <c r="AR57" s="1174"/>
    </row>
    <row r="58" spans="2:44" ht="42.75" customHeight="1">
      <c r="B58" s="1737" t="s">
        <v>186</v>
      </c>
      <c r="C58" s="1438"/>
      <c r="D58" s="1820"/>
      <c r="E58" s="1829"/>
      <c r="F58" s="1298"/>
      <c r="G58" s="1298"/>
      <c r="H58" s="1298"/>
      <c r="I58" s="1845"/>
      <c r="J58" s="1880"/>
      <c r="K58" s="1440"/>
      <c r="L58" s="1760"/>
      <c r="P58" s="1297"/>
      <c r="Q58" s="1233"/>
      <c r="R58" s="1211"/>
      <c r="S58" s="1212"/>
      <c r="T58" s="1220"/>
      <c r="V58" s="1439"/>
      <c r="W58" s="1298"/>
      <c r="X58" s="1298"/>
      <c r="Y58" s="1215"/>
      <c r="Z58" s="1441"/>
      <c r="AA58" s="1214"/>
      <c r="AB58" s="1215"/>
      <c r="AC58" s="1576"/>
      <c r="AD58" s="1269"/>
      <c r="AE58" s="1269"/>
      <c r="AF58" s="1269"/>
      <c r="AG58" s="1269"/>
      <c r="AH58" s="1269"/>
      <c r="AI58" s="1269"/>
      <c r="AJ58" s="1269"/>
      <c r="AK58" s="1269"/>
      <c r="AL58" s="1269"/>
      <c r="AM58" s="1577"/>
      <c r="AN58" s="1237"/>
      <c r="AO58" s="1403"/>
      <c r="AP58" s="1174"/>
      <c r="AQ58" s="1174"/>
      <c r="AR58" s="1174"/>
    </row>
    <row r="59" spans="2:44" ht="12.75">
      <c r="B59" s="1743" t="s">
        <v>179</v>
      </c>
      <c r="D59" s="1444"/>
      <c r="E59" s="1829"/>
      <c r="F59" s="1298"/>
      <c r="G59" s="1298"/>
      <c r="H59" s="1298"/>
      <c r="I59" s="1845"/>
      <c r="J59" s="1880"/>
      <c r="K59" s="1440"/>
      <c r="L59" s="1760"/>
      <c r="P59" s="1297"/>
      <c r="Q59" s="1233"/>
      <c r="R59" s="1211"/>
      <c r="S59" s="1212"/>
      <c r="T59" s="1220"/>
      <c r="V59" s="1439"/>
      <c r="W59" s="1298"/>
      <c r="X59" s="1298"/>
      <c r="Y59" s="1215"/>
      <c r="Z59" s="1441"/>
      <c r="AA59" s="1298"/>
      <c r="AB59" s="1215"/>
      <c r="AC59" s="1576"/>
      <c r="AD59" s="1269"/>
      <c r="AE59" s="1269"/>
      <c r="AF59" s="1269"/>
      <c r="AG59" s="1269"/>
      <c r="AH59" s="1269"/>
      <c r="AI59" s="1269"/>
      <c r="AJ59" s="1269"/>
      <c r="AK59" s="1269"/>
      <c r="AL59" s="1269"/>
      <c r="AM59" s="1577"/>
      <c r="AN59" s="1270"/>
      <c r="AO59" s="1464"/>
      <c r="AP59" s="1174"/>
      <c r="AQ59" s="1174"/>
      <c r="AR59" s="1174"/>
    </row>
    <row r="60" spans="2:46" s="1444" customFormat="1" ht="39.75" customHeight="1">
      <c r="B60" s="1761"/>
      <c r="C60" s="1404">
        <v>66</v>
      </c>
      <c r="D60" s="1578" t="s">
        <v>513</v>
      </c>
      <c r="E60" s="1846">
        <v>2818220</v>
      </c>
      <c r="F60" s="1579">
        <f>+F61</f>
        <v>2818220</v>
      </c>
      <c r="G60" s="1580">
        <f>I60/E60</f>
        <v>1</v>
      </c>
      <c r="H60" s="1305">
        <v>1</v>
      </c>
      <c r="I60" s="1847">
        <f>F60*H60</f>
        <v>2818220</v>
      </c>
      <c r="J60" s="1881">
        <v>-140840</v>
      </c>
      <c r="K60" s="1581">
        <v>54686</v>
      </c>
      <c r="L60" s="1897" t="s">
        <v>769</v>
      </c>
      <c r="M60" s="1583" t="s">
        <v>719</v>
      </c>
      <c r="N60" s="1584" t="s">
        <v>732</v>
      </c>
      <c r="O60" s="1584"/>
      <c r="P60" s="1299">
        <f>'Dettaglio PN - Info per N.I.'!C179</f>
        <v>2458289</v>
      </c>
      <c r="Q60" s="1300">
        <v>16</v>
      </c>
      <c r="R60" s="1301">
        <f>'Dettaglio PN - Info per N.I.'!E179</f>
        <v>2458289</v>
      </c>
      <c r="S60" s="1302">
        <f>37084781</f>
        <v>37084781</v>
      </c>
      <c r="T60" s="1303">
        <v>2016</v>
      </c>
      <c r="U60" s="1304">
        <f>ROUND(S60*G60,2)</f>
        <v>37084781</v>
      </c>
      <c r="V60" s="1299">
        <f>(1308273+300000+4126.23-261.65-121360)+1159252.75</f>
        <v>2650030.33</v>
      </c>
      <c r="W60" s="1305">
        <f>+I60</f>
        <v>2818220</v>
      </c>
      <c r="X60" s="1305">
        <f>(4126.23-261.65)+8420.62</f>
        <v>12285.2</v>
      </c>
      <c r="Y60" s="1306">
        <f>+V60-W60-X60</f>
        <v>-180474.86999999994</v>
      </c>
      <c r="Z60" s="1585">
        <f>V60</f>
        <v>2650030.33</v>
      </c>
      <c r="AA60" s="1305">
        <f>X60</f>
        <v>12285.2</v>
      </c>
      <c r="AB60" s="1306">
        <f>Y60</f>
        <v>-180474.86999999994</v>
      </c>
      <c r="AC60" s="1586">
        <f>1490777.58+'Variazioni di valore IAS-IFRS'!Q160</f>
        <v>1251035.61</v>
      </c>
      <c r="AD60" s="1305">
        <v>1159252.75</v>
      </c>
      <c r="AE60" s="1305"/>
      <c r="AF60" s="1305"/>
      <c r="AG60" s="1305"/>
      <c r="AH60" s="1305"/>
      <c r="AI60" s="1587"/>
      <c r="AJ60" s="1305"/>
      <c r="AK60" s="1305"/>
      <c r="AL60" s="1305"/>
      <c r="AM60" s="1588">
        <f>SUM(AC60:AL60)</f>
        <v>2410288.3600000003</v>
      </c>
      <c r="AN60" s="1589"/>
      <c r="AO60" s="1590"/>
      <c r="AP60" s="1377">
        <f>AM60</f>
        <v>2410288.3600000003</v>
      </c>
      <c r="AQ60" s="1380"/>
      <c r="AR60" s="1377"/>
      <c r="AT60" s="1174"/>
    </row>
    <row r="61" spans="2:51" ht="12.75">
      <c r="B61" s="1763"/>
      <c r="D61" s="1231" t="s">
        <v>693</v>
      </c>
      <c r="E61" s="1826"/>
      <c r="F61" s="1214">
        <f>E60/H60</f>
        <v>2818220</v>
      </c>
      <c r="G61" s="1254"/>
      <c r="H61" s="1214"/>
      <c r="I61" s="1825"/>
      <c r="J61" s="1868"/>
      <c r="K61" s="1440"/>
      <c r="L61" s="1740"/>
      <c r="P61" s="1232"/>
      <c r="Q61" s="1245"/>
      <c r="R61" s="1218"/>
      <c r="S61" s="1219"/>
      <c r="T61" s="1220"/>
      <c r="V61" s="1232"/>
      <c r="W61" s="1236"/>
      <c r="X61" s="1236"/>
      <c r="Y61" s="1237"/>
      <c r="Z61" s="1446"/>
      <c r="AA61" s="1214"/>
      <c r="AB61" s="1221"/>
      <c r="AC61" s="1232"/>
      <c r="AD61" s="1236"/>
      <c r="AE61" s="1236"/>
      <c r="AF61" s="1236"/>
      <c r="AG61" s="1236"/>
      <c r="AH61" s="1236"/>
      <c r="AI61" s="1236"/>
      <c r="AJ61" s="1236"/>
      <c r="AK61" s="1236"/>
      <c r="AL61" s="1236"/>
      <c r="AM61" s="1236"/>
      <c r="AN61" s="1237"/>
      <c r="AO61" s="1403"/>
      <c r="AP61" s="1174"/>
      <c r="AQ61" s="1174"/>
      <c r="AR61" s="1174"/>
      <c r="AX61" s="1174"/>
      <c r="AY61" s="1174"/>
    </row>
    <row r="62" spans="2:44" s="1484" customFormat="1" ht="12.75">
      <c r="B62" s="1764" t="s">
        <v>766</v>
      </c>
      <c r="C62" s="1591"/>
      <c r="D62" s="1592"/>
      <c r="E62" s="1848"/>
      <c r="F62" s="1593"/>
      <c r="G62" s="1593"/>
      <c r="H62" s="1313"/>
      <c r="I62" s="1849">
        <f>SUM(I60)</f>
        <v>2818220</v>
      </c>
      <c r="J62" s="1882"/>
      <c r="K62" s="1594"/>
      <c r="L62" s="1765"/>
      <c r="M62" s="1595"/>
      <c r="N62" s="1595"/>
      <c r="O62" s="1595"/>
      <c r="P62" s="1307"/>
      <c r="Q62" s="1308"/>
      <c r="R62" s="1309"/>
      <c r="S62" s="1310"/>
      <c r="T62" s="1311"/>
      <c r="U62" s="1312"/>
      <c r="V62" s="1495"/>
      <c r="W62" s="1514"/>
      <c r="X62" s="1514"/>
      <c r="Y62" s="1480"/>
      <c r="Z62" s="1596">
        <f aca="true" t="shared" si="6" ref="Z62:AM62">SUM(Z60)</f>
        <v>2650030.33</v>
      </c>
      <c r="AA62" s="1313">
        <f t="shared" si="6"/>
        <v>12285.2</v>
      </c>
      <c r="AB62" s="1314">
        <f t="shared" si="6"/>
        <v>-180474.86999999994</v>
      </c>
      <c r="AC62" s="1307">
        <f t="shared" si="6"/>
        <v>1251035.61</v>
      </c>
      <c r="AD62" s="1313">
        <f t="shared" si="6"/>
        <v>1159252.75</v>
      </c>
      <c r="AE62" s="1313">
        <f t="shared" si="6"/>
        <v>0</v>
      </c>
      <c r="AF62" s="1313">
        <f t="shared" si="6"/>
        <v>0</v>
      </c>
      <c r="AG62" s="1313">
        <f t="shared" si="6"/>
        <v>0</v>
      </c>
      <c r="AH62" s="1313">
        <f t="shared" si="6"/>
        <v>0</v>
      </c>
      <c r="AI62" s="1313">
        <f t="shared" si="6"/>
        <v>0</v>
      </c>
      <c r="AJ62" s="1313">
        <f t="shared" si="6"/>
        <v>0</v>
      </c>
      <c r="AK62" s="1313">
        <f t="shared" si="6"/>
        <v>0</v>
      </c>
      <c r="AL62" s="1313">
        <f t="shared" si="6"/>
        <v>0</v>
      </c>
      <c r="AM62" s="1313">
        <f t="shared" si="6"/>
        <v>2410288.3600000003</v>
      </c>
      <c r="AN62" s="1314"/>
      <c r="AO62" s="1597"/>
      <c r="AP62" s="1497">
        <f>SUM(AP59)</f>
        <v>0</v>
      </c>
      <c r="AQ62" s="1497">
        <f>SUM(AQ59)</f>
        <v>0</v>
      </c>
      <c r="AR62" s="1497">
        <f>SUM(AR59)</f>
        <v>0</v>
      </c>
    </row>
    <row r="63" spans="2:44" ht="12.75">
      <c r="B63" s="1739" t="s">
        <v>180</v>
      </c>
      <c r="D63" s="1444"/>
      <c r="E63" s="1826"/>
      <c r="F63" s="1214"/>
      <c r="G63" s="1214"/>
      <c r="H63" s="1214"/>
      <c r="I63" s="1825"/>
      <c r="J63" s="1868"/>
      <c r="K63" s="1440"/>
      <c r="L63" s="1740"/>
      <c r="P63" s="1232"/>
      <c r="Q63" s="1210"/>
      <c r="R63" s="1218"/>
      <c r="S63" s="1219"/>
      <c r="T63" s="1220"/>
      <c r="V63" s="1232"/>
      <c r="W63" s="1236"/>
      <c r="X63" s="1236"/>
      <c r="Y63" s="1237"/>
      <c r="Z63" s="1446"/>
      <c r="AA63" s="1214"/>
      <c r="AB63" s="1221"/>
      <c r="AC63" s="1575"/>
      <c r="AD63" s="1236"/>
      <c r="AE63" s="1236"/>
      <c r="AF63" s="1236"/>
      <c r="AG63" s="1236"/>
      <c r="AH63" s="1236"/>
      <c r="AI63" s="1236"/>
      <c r="AJ63" s="1236"/>
      <c r="AK63" s="1236"/>
      <c r="AL63" s="1236"/>
      <c r="AM63" s="1487"/>
      <c r="AN63" s="1237"/>
      <c r="AO63" s="1403"/>
      <c r="AP63" s="1174"/>
      <c r="AQ63" s="1174"/>
      <c r="AR63" s="1174"/>
    </row>
    <row r="64" spans="2:46" s="1444" customFormat="1" ht="12.75">
      <c r="B64" s="1761"/>
      <c r="C64" s="1404"/>
      <c r="D64" s="1578"/>
      <c r="E64" s="1846"/>
      <c r="F64" s="1598"/>
      <c r="G64" s="1580"/>
      <c r="H64" s="1305"/>
      <c r="I64" s="1847"/>
      <c r="J64" s="1883"/>
      <c r="K64" s="1599"/>
      <c r="L64" s="1766"/>
      <c r="M64" s="1583"/>
      <c r="N64" s="1583"/>
      <c r="O64" s="1583"/>
      <c r="P64" s="1299"/>
      <c r="Q64" s="1315"/>
      <c r="R64" s="1301"/>
      <c r="S64" s="1302"/>
      <c r="T64" s="1316"/>
      <c r="U64" s="1304"/>
      <c r="V64" s="1299"/>
      <c r="W64" s="1305"/>
      <c r="X64" s="1305"/>
      <c r="Y64" s="1306"/>
      <c r="Z64" s="1585"/>
      <c r="AA64" s="1305"/>
      <c r="AB64" s="1306"/>
      <c r="AC64" s="1586"/>
      <c r="AD64" s="1305"/>
      <c r="AE64" s="1305"/>
      <c r="AF64" s="1305"/>
      <c r="AG64" s="1305"/>
      <c r="AH64" s="1305"/>
      <c r="AI64" s="1305"/>
      <c r="AJ64" s="1305"/>
      <c r="AK64" s="1305"/>
      <c r="AL64" s="1305"/>
      <c r="AM64" s="1588"/>
      <c r="AN64" s="1589"/>
      <c r="AO64" s="1590"/>
      <c r="AP64" s="1380"/>
      <c r="AQ64" s="1380"/>
      <c r="AR64" s="1377"/>
      <c r="AT64" s="1174"/>
    </row>
    <row r="65" spans="2:44" s="1484" customFormat="1" ht="12.75">
      <c r="B65" s="1747" t="s">
        <v>763</v>
      </c>
      <c r="C65" s="1473"/>
      <c r="D65" s="1474"/>
      <c r="E65" s="1831"/>
      <c r="F65" s="1475"/>
      <c r="G65" s="1600"/>
      <c r="H65" s="1252"/>
      <c r="I65" s="1832">
        <f>SUM(I64)</f>
        <v>0</v>
      </c>
      <c r="J65" s="1873"/>
      <c r="K65" s="1476"/>
      <c r="L65" s="1748"/>
      <c r="M65" s="1477"/>
      <c r="N65" s="1477"/>
      <c r="O65" s="1477"/>
      <c r="P65" s="1247"/>
      <c r="Q65" s="1308"/>
      <c r="R65" s="1290"/>
      <c r="S65" s="1291"/>
      <c r="T65" s="1250"/>
      <c r="U65" s="1292"/>
      <c r="V65" s="1478"/>
      <c r="W65" s="1479"/>
      <c r="X65" s="1479"/>
      <c r="Y65" s="1556"/>
      <c r="Z65" s="1557">
        <f aca="true" t="shared" si="7" ref="Z65:AM65">SUM(Z64)</f>
        <v>0</v>
      </c>
      <c r="AA65" s="1252">
        <f t="shared" si="7"/>
        <v>0</v>
      </c>
      <c r="AB65" s="1293">
        <f t="shared" si="7"/>
        <v>0</v>
      </c>
      <c r="AC65" s="1247">
        <f t="shared" si="7"/>
        <v>0</v>
      </c>
      <c r="AD65" s="1252">
        <f t="shared" si="7"/>
        <v>0</v>
      </c>
      <c r="AE65" s="1252">
        <f t="shared" si="7"/>
        <v>0</v>
      </c>
      <c r="AF65" s="1252">
        <f t="shared" si="7"/>
        <v>0</v>
      </c>
      <c r="AG65" s="1252">
        <f t="shared" si="7"/>
        <v>0</v>
      </c>
      <c r="AH65" s="1252">
        <f t="shared" si="7"/>
        <v>0</v>
      </c>
      <c r="AI65" s="1252">
        <f t="shared" si="7"/>
        <v>0</v>
      </c>
      <c r="AJ65" s="1252">
        <f t="shared" si="7"/>
        <v>0</v>
      </c>
      <c r="AK65" s="1252">
        <f t="shared" si="7"/>
        <v>0</v>
      </c>
      <c r="AL65" s="1252">
        <f t="shared" si="7"/>
        <v>0</v>
      </c>
      <c r="AM65" s="1252">
        <f t="shared" si="7"/>
        <v>0</v>
      </c>
      <c r="AN65" s="1293"/>
      <c r="AO65" s="1483"/>
      <c r="AP65" s="1376">
        <f>SUM(AP64)</f>
        <v>0</v>
      </c>
      <c r="AQ65" s="1376">
        <f>SUM(AQ64)</f>
        <v>0</v>
      </c>
      <c r="AR65" s="1376">
        <f>SUM(AR64)</f>
        <v>0</v>
      </c>
    </row>
    <row r="66" spans="2:44" ht="12.75">
      <c r="B66" s="1743" t="s">
        <v>181</v>
      </c>
      <c r="D66" s="1444"/>
      <c r="E66" s="1829"/>
      <c r="F66" s="1298"/>
      <c r="G66" s="1460"/>
      <c r="H66" s="1298"/>
      <c r="I66" s="1845"/>
      <c r="J66" s="1880"/>
      <c r="K66" s="1440"/>
      <c r="L66" s="1760"/>
      <c r="P66" s="1297"/>
      <c r="Q66" s="1233"/>
      <c r="R66" s="1211"/>
      <c r="S66" s="1212"/>
      <c r="T66" s="1220"/>
      <c r="V66" s="1297"/>
      <c r="W66" s="1269"/>
      <c r="X66" s="1269"/>
      <c r="Y66" s="1270"/>
      <c r="Z66" s="1441"/>
      <c r="AA66" s="1298"/>
      <c r="AB66" s="1215"/>
      <c r="AC66" s="1576"/>
      <c r="AD66" s="1269"/>
      <c r="AE66" s="1269"/>
      <c r="AF66" s="1269"/>
      <c r="AG66" s="1269"/>
      <c r="AH66" s="1269"/>
      <c r="AI66" s="1269"/>
      <c r="AJ66" s="1269"/>
      <c r="AK66" s="1269"/>
      <c r="AL66" s="1269"/>
      <c r="AM66" s="1577"/>
      <c r="AN66" s="1270"/>
      <c r="AO66" s="1464"/>
      <c r="AP66" s="1174"/>
      <c r="AQ66" s="1174"/>
      <c r="AR66" s="1174"/>
    </row>
    <row r="67" spans="2:46" s="1444" customFormat="1" ht="39.75" customHeight="1">
      <c r="B67" s="1761"/>
      <c r="C67" s="1404">
        <v>59</v>
      </c>
      <c r="D67" s="1578" t="s">
        <v>511</v>
      </c>
      <c r="E67" s="1846">
        <v>100000</v>
      </c>
      <c r="F67" s="1598" t="s">
        <v>183</v>
      </c>
      <c r="G67" s="1580">
        <f>I67/E67</f>
        <v>0.51</v>
      </c>
      <c r="H67" s="1305"/>
      <c r="I67" s="1847">
        <v>51000</v>
      </c>
      <c r="J67" s="1884" t="s">
        <v>755</v>
      </c>
      <c r="K67" s="1601" t="s">
        <v>753</v>
      </c>
      <c r="L67" s="1767" t="s">
        <v>754</v>
      </c>
      <c r="M67" s="1583" t="s">
        <v>719</v>
      </c>
      <c r="N67" s="1584" t="s">
        <v>733</v>
      </c>
      <c r="O67" s="1584"/>
      <c r="P67" s="1299">
        <f>'Dettaglio PN - Info per N.I.'!C163</f>
        <v>26100635</v>
      </c>
      <c r="Q67" s="1317">
        <v>43009</v>
      </c>
      <c r="R67" s="1301">
        <f>'Dettaglio PN - Info per N.I.'!E163</f>
        <v>13311323.85</v>
      </c>
      <c r="S67" s="1302">
        <f>100000+25886000+113797.57-35.97</f>
        <v>26099761.6</v>
      </c>
      <c r="T67" s="1303">
        <v>2016</v>
      </c>
      <c r="U67" s="1304">
        <f>ROUND(S67*G67,2)</f>
        <v>13310878.42</v>
      </c>
      <c r="V67" s="1299">
        <v>16809532.21</v>
      </c>
      <c r="W67" s="1305">
        <v>51000</v>
      </c>
      <c r="X67" s="1305">
        <v>0</v>
      </c>
      <c r="Y67" s="1306">
        <f>V67-W67</f>
        <v>16758532.21</v>
      </c>
      <c r="Z67" s="1585">
        <f>+V67+AE67+AF67</f>
        <v>16809532.21</v>
      </c>
      <c r="AA67" s="1305">
        <f>X67</f>
        <v>0</v>
      </c>
      <c r="AB67" s="1306">
        <f>Y67</f>
        <v>16758532.21</v>
      </c>
      <c r="AC67" s="1586">
        <v>16809532.21</v>
      </c>
      <c r="AD67" s="1305"/>
      <c r="AE67" s="1305"/>
      <c r="AF67" s="1305"/>
      <c r="AG67" s="1305"/>
      <c r="AH67" s="1305"/>
      <c r="AI67" s="1305"/>
      <c r="AJ67" s="1305"/>
      <c r="AK67" s="1305"/>
      <c r="AL67" s="1305"/>
      <c r="AM67" s="1588">
        <f>SUM(AC67:AL67)</f>
        <v>16809532.21</v>
      </c>
      <c r="AN67" s="1589"/>
      <c r="AO67" s="1590"/>
      <c r="AP67" s="1380"/>
      <c r="AQ67" s="1380"/>
      <c r="AR67" s="1377">
        <f>AM67</f>
        <v>16809532.21</v>
      </c>
      <c r="AT67" s="1174"/>
    </row>
    <row r="68" spans="2:44" ht="12.75">
      <c r="B68" s="1763"/>
      <c r="D68" s="1318" t="s">
        <v>484</v>
      </c>
      <c r="E68" s="1850"/>
      <c r="F68" s="1602"/>
      <c r="G68" s="1603"/>
      <c r="H68" s="1604"/>
      <c r="I68" s="1851"/>
      <c r="J68" s="1885"/>
      <c r="K68" s="1605"/>
      <c r="L68" s="1768"/>
      <c r="M68" s="1606"/>
      <c r="N68" s="1606"/>
      <c r="O68" s="1606"/>
      <c r="P68" s="1319"/>
      <c r="Q68" s="1320"/>
      <c r="R68" s="1321"/>
      <c r="S68" s="1322"/>
      <c r="T68" s="1323"/>
      <c r="U68" s="1324"/>
      <c r="V68" s="1232"/>
      <c r="W68" s="1236"/>
      <c r="X68" s="1236"/>
      <c r="Y68" s="1237"/>
      <c r="Z68" s="1607"/>
      <c r="AA68" s="1214"/>
      <c r="AB68" s="1221"/>
      <c r="AC68" s="1319"/>
      <c r="AD68" s="1236"/>
      <c r="AE68" s="1608"/>
      <c r="AF68" s="1608"/>
      <c r="AG68" s="1608"/>
      <c r="AH68" s="1608"/>
      <c r="AI68" s="1608"/>
      <c r="AJ68" s="1608"/>
      <c r="AK68" s="1608"/>
      <c r="AL68" s="1608"/>
      <c r="AM68" s="1608"/>
      <c r="AN68" s="1609"/>
      <c r="AO68" s="1610"/>
      <c r="AP68" s="1611"/>
      <c r="AQ68" s="1611"/>
      <c r="AR68" s="1611"/>
    </row>
    <row r="69" spans="2:46" s="1444" customFormat="1" ht="39.75" customHeight="1">
      <c r="B69" s="1761"/>
      <c r="C69" s="1404">
        <v>46</v>
      </c>
      <c r="D69" s="1578" t="s">
        <v>512</v>
      </c>
      <c r="E69" s="1846">
        <f>(1000000+3367000)</f>
        <v>4367000</v>
      </c>
      <c r="F69" s="1579">
        <f>(500000+1683500)</f>
        <v>2183500</v>
      </c>
      <c r="G69" s="1580">
        <f>I69/E69</f>
        <v>0.5</v>
      </c>
      <c r="H69" s="1305">
        <v>1</v>
      </c>
      <c r="I69" s="1847">
        <f>F69*H69</f>
        <v>2183500</v>
      </c>
      <c r="J69" s="1883" t="s">
        <v>606</v>
      </c>
      <c r="K69" s="1581">
        <v>79193</v>
      </c>
      <c r="L69" s="1762">
        <v>26252</v>
      </c>
      <c r="M69" s="1583" t="s">
        <v>719</v>
      </c>
      <c r="N69" s="1584" t="s">
        <v>734</v>
      </c>
      <c r="O69" s="1584"/>
      <c r="P69" s="1299">
        <f>'Dettaglio PN - Info per N.I.'!C172</f>
        <v>5821254</v>
      </c>
      <c r="Q69" s="1300">
        <v>15</v>
      </c>
      <c r="R69" s="1301">
        <f>'Dettaglio PN - Info per N.I.'!E172</f>
        <v>2910627</v>
      </c>
      <c r="S69" s="1325">
        <f>5515450.72</f>
        <v>5515450.72</v>
      </c>
      <c r="T69" s="1303">
        <v>2016</v>
      </c>
      <c r="U69" s="1304">
        <f>ROUND(S69*G69,2)</f>
        <v>2757725.36</v>
      </c>
      <c r="V69" s="1299">
        <f>SUM(W69:Y69)</f>
        <v>2183500</v>
      </c>
      <c r="W69" s="1305">
        <f>(500000+1683500)</f>
        <v>2183500</v>
      </c>
      <c r="X69" s="1305">
        <v>0</v>
      </c>
      <c r="Y69" s="1306">
        <v>0</v>
      </c>
      <c r="Z69" s="1585">
        <f>V69</f>
        <v>2183500</v>
      </c>
      <c r="AA69" s="1305">
        <f>X69</f>
        <v>0</v>
      </c>
      <c r="AB69" s="1306">
        <f>Y69</f>
        <v>0</v>
      </c>
      <c r="AC69" s="1586">
        <f>V69+'Variazioni di valore IAS-IFRS'!P149</f>
        <v>2133985.04</v>
      </c>
      <c r="AD69" s="1305"/>
      <c r="AE69" s="1305"/>
      <c r="AF69" s="1305"/>
      <c r="AG69" s="1305"/>
      <c r="AH69" s="1305"/>
      <c r="AI69" s="1305">
        <f>'Variazioni di valore IAS-IFRS'!R144</f>
        <v>-389000</v>
      </c>
      <c r="AJ69" s="1305"/>
      <c r="AK69" s="1305"/>
      <c r="AL69" s="1305"/>
      <c r="AM69" s="1588">
        <f>SUM(AC69:AL69)</f>
        <v>1744985.04</v>
      </c>
      <c r="AN69" s="1589"/>
      <c r="AO69" s="1590"/>
      <c r="AP69" s="1380"/>
      <c r="AQ69" s="1380"/>
      <c r="AR69" s="1377">
        <f>AM69</f>
        <v>1744985.04</v>
      </c>
      <c r="AT69" s="1174"/>
    </row>
    <row r="70" spans="2:44" ht="12.75">
      <c r="B70" s="1763"/>
      <c r="D70" s="1231" t="s">
        <v>485</v>
      </c>
      <c r="E70" s="1826"/>
      <c r="F70" s="1214">
        <f>E69/H69</f>
        <v>4367000</v>
      </c>
      <c r="G70" s="1254"/>
      <c r="H70" s="1214"/>
      <c r="I70" s="1825"/>
      <c r="J70" s="1868"/>
      <c r="K70" s="1440"/>
      <c r="L70" s="1740"/>
      <c r="P70" s="1232"/>
      <c r="Q70" s="1245"/>
      <c r="R70" s="1218"/>
      <c r="S70" s="1219"/>
      <c r="T70" s="1220"/>
      <c r="V70" s="1232"/>
      <c r="W70" s="1236"/>
      <c r="X70" s="1236"/>
      <c r="Y70" s="1237"/>
      <c r="Z70" s="1446"/>
      <c r="AA70" s="1214"/>
      <c r="AB70" s="1221"/>
      <c r="AC70" s="1232"/>
      <c r="AD70" s="1236"/>
      <c r="AE70" s="1236"/>
      <c r="AF70" s="1236"/>
      <c r="AG70" s="1236"/>
      <c r="AH70" s="1236"/>
      <c r="AI70" s="1236"/>
      <c r="AJ70" s="1236"/>
      <c r="AK70" s="1236"/>
      <c r="AL70" s="1236"/>
      <c r="AM70" s="1236"/>
      <c r="AN70" s="1237"/>
      <c r="AO70" s="1403"/>
      <c r="AP70" s="1174"/>
      <c r="AQ70" s="1174"/>
      <c r="AR70" s="1174"/>
    </row>
    <row r="71" spans="2:51" s="1484" customFormat="1" ht="12.75">
      <c r="B71" s="1747" t="s">
        <v>767</v>
      </c>
      <c r="C71" s="1473"/>
      <c r="D71" s="1474"/>
      <c r="E71" s="1831"/>
      <c r="F71" s="1475"/>
      <c r="G71" s="1600"/>
      <c r="H71" s="1252"/>
      <c r="I71" s="1832">
        <f>SUM(I67:I70)</f>
        <v>2234500</v>
      </c>
      <c r="J71" s="1873"/>
      <c r="K71" s="1476"/>
      <c r="L71" s="1748"/>
      <c r="M71" s="1477"/>
      <c r="N71" s="1477"/>
      <c r="O71" s="1477"/>
      <c r="P71" s="1247"/>
      <c r="Q71" s="1326"/>
      <c r="R71" s="1290"/>
      <c r="S71" s="1291"/>
      <c r="T71" s="1250"/>
      <c r="U71" s="1292"/>
      <c r="V71" s="1478"/>
      <c r="W71" s="1479"/>
      <c r="X71" s="1479"/>
      <c r="Y71" s="1556"/>
      <c r="Z71" s="1557">
        <f aca="true" t="shared" si="8" ref="Z71:AM71">SUM(Z67:Z70)</f>
        <v>18993032.21</v>
      </c>
      <c r="AA71" s="1327">
        <f t="shared" si="8"/>
        <v>0</v>
      </c>
      <c r="AB71" s="1328">
        <f t="shared" si="8"/>
        <v>16758532.21</v>
      </c>
      <c r="AC71" s="1247">
        <f t="shared" si="8"/>
        <v>18943517.25</v>
      </c>
      <c r="AD71" s="1252">
        <f t="shared" si="8"/>
        <v>0</v>
      </c>
      <c r="AE71" s="1252">
        <f t="shared" si="8"/>
        <v>0</v>
      </c>
      <c r="AF71" s="1252">
        <f t="shared" si="8"/>
        <v>0</v>
      </c>
      <c r="AG71" s="1252">
        <f t="shared" si="8"/>
        <v>0</v>
      </c>
      <c r="AH71" s="1252">
        <f t="shared" si="8"/>
        <v>0</v>
      </c>
      <c r="AI71" s="1252">
        <f t="shared" si="8"/>
        <v>-389000</v>
      </c>
      <c r="AJ71" s="1252">
        <f t="shared" si="8"/>
        <v>0</v>
      </c>
      <c r="AK71" s="1252">
        <f t="shared" si="8"/>
        <v>0</v>
      </c>
      <c r="AL71" s="1252">
        <f t="shared" si="8"/>
        <v>0</v>
      </c>
      <c r="AM71" s="1252">
        <f t="shared" si="8"/>
        <v>18554517.25</v>
      </c>
      <c r="AN71" s="1293"/>
      <c r="AO71" s="1483"/>
      <c r="AP71" s="1376">
        <f>SUM(AP69:AP70)</f>
        <v>0</v>
      </c>
      <c r="AQ71" s="1376">
        <f>SUM(AQ69:AQ70)</f>
        <v>0</v>
      </c>
      <c r="AR71" s="1376">
        <f>SUM(AR69:AR70)</f>
        <v>1744985.04</v>
      </c>
      <c r="AU71" s="1498"/>
      <c r="AX71" s="1379"/>
      <c r="AY71" s="1497"/>
    </row>
    <row r="72" spans="2:51" ht="12.75">
      <c r="B72" s="1739" t="s">
        <v>182</v>
      </c>
      <c r="D72" s="1444"/>
      <c r="E72" s="1826"/>
      <c r="F72" s="1214"/>
      <c r="G72" s="1254"/>
      <c r="H72" s="1214"/>
      <c r="I72" s="1825"/>
      <c r="J72" s="1868"/>
      <c r="K72" s="1440"/>
      <c r="L72" s="1740"/>
      <c r="P72" s="1232"/>
      <c r="Q72" s="1210"/>
      <c r="R72" s="1218"/>
      <c r="S72" s="1219"/>
      <c r="T72" s="1220"/>
      <c r="V72" s="1356"/>
      <c r="W72" s="1214"/>
      <c r="X72" s="1214"/>
      <c r="Y72" s="1221"/>
      <c r="Z72" s="1485"/>
      <c r="AA72" s="1254"/>
      <c r="AB72" s="1221"/>
      <c r="AC72" s="1575"/>
      <c r="AD72" s="1236"/>
      <c r="AE72" s="1236"/>
      <c r="AF72" s="1236"/>
      <c r="AG72" s="1236"/>
      <c r="AH72" s="1236"/>
      <c r="AI72" s="1236"/>
      <c r="AJ72" s="1236"/>
      <c r="AK72" s="1236"/>
      <c r="AL72" s="1236"/>
      <c r="AM72" s="1487"/>
      <c r="AN72" s="1237"/>
      <c r="AO72" s="1403"/>
      <c r="AP72" s="1174"/>
      <c r="AQ72" s="1174"/>
      <c r="AR72" s="1174"/>
      <c r="AX72" s="1174"/>
      <c r="AY72" s="1174"/>
    </row>
    <row r="73" spans="2:51" ht="39.75" customHeight="1">
      <c r="B73" s="1769"/>
      <c r="C73" s="1404">
        <v>38</v>
      </c>
      <c r="D73" s="1578" t="s">
        <v>514</v>
      </c>
      <c r="E73" s="1846">
        <v>13119840</v>
      </c>
      <c r="F73" s="1579">
        <f>(100000+31198)</f>
        <v>131198</v>
      </c>
      <c r="G73" s="1580">
        <f>I73/E73</f>
        <v>0.09999969511823315</v>
      </c>
      <c r="H73" s="1305">
        <v>10</v>
      </c>
      <c r="I73" s="1847">
        <f>F73*H73</f>
        <v>1311980</v>
      </c>
      <c r="J73" s="1881">
        <v>844102</v>
      </c>
      <c r="K73" s="1581">
        <v>-356498</v>
      </c>
      <c r="L73" s="1762">
        <v>-1066953</v>
      </c>
      <c r="M73" s="1583" t="s">
        <v>719</v>
      </c>
      <c r="N73" s="1612" t="s">
        <v>726</v>
      </c>
      <c r="O73" s="1612"/>
      <c r="P73" s="1299">
        <f>'Dettaglio PN - Info per N.I.'!C188</f>
        <v>13465449</v>
      </c>
      <c r="Q73" s="1300">
        <v>16</v>
      </c>
      <c r="R73" s="1301">
        <f>'Dettaglio PN - Info per N.I.'!E188</f>
        <v>1346540.79</v>
      </c>
      <c r="S73" s="1329" t="s">
        <v>606</v>
      </c>
      <c r="T73" s="1303">
        <v>2016</v>
      </c>
      <c r="U73" s="1330" t="s">
        <v>606</v>
      </c>
      <c r="V73" s="1299">
        <f>SUM(W73:Y73)</f>
        <v>1339500</v>
      </c>
      <c r="W73" s="1305">
        <f>1000000+311980</f>
        <v>1311980</v>
      </c>
      <c r="X73" s="1305">
        <v>0</v>
      </c>
      <c r="Y73" s="1306">
        <v>27520</v>
      </c>
      <c r="Z73" s="1585">
        <f>V73</f>
        <v>1339500</v>
      </c>
      <c r="AA73" s="1305">
        <f>X73</f>
        <v>0</v>
      </c>
      <c r="AB73" s="1306">
        <f>Y73</f>
        <v>27520</v>
      </c>
      <c r="AC73" s="1586">
        <f>V73</f>
        <v>1339500</v>
      </c>
      <c r="AD73" s="1305"/>
      <c r="AE73" s="1305"/>
      <c r="AF73" s="1305"/>
      <c r="AG73" s="1305"/>
      <c r="AH73" s="1305"/>
      <c r="AI73" s="1305"/>
      <c r="AJ73" s="1305"/>
      <c r="AK73" s="1305"/>
      <c r="AL73" s="1305"/>
      <c r="AM73" s="1588">
        <f>SUM(AC73:AL73)</f>
        <v>1339500</v>
      </c>
      <c r="AN73" s="1589"/>
      <c r="AO73" s="1590"/>
      <c r="AP73" s="1380"/>
      <c r="AQ73" s="1377"/>
      <c r="AR73" s="1377">
        <f>AM73</f>
        <v>1339500</v>
      </c>
      <c r="AT73" s="1174"/>
      <c r="AX73" s="1174"/>
      <c r="AY73" s="1174"/>
    </row>
    <row r="74" spans="2:51" ht="12.75">
      <c r="B74" s="1739"/>
      <c r="D74" s="1318" t="s">
        <v>487</v>
      </c>
      <c r="E74" s="1826"/>
      <c r="F74" s="1214">
        <f>E73/H73</f>
        <v>1311984</v>
      </c>
      <c r="G74" s="1254"/>
      <c r="H74" s="1214"/>
      <c r="I74" s="1825"/>
      <c r="J74" s="1868"/>
      <c r="K74" s="1440"/>
      <c r="L74" s="1740"/>
      <c r="P74" s="1232"/>
      <c r="Q74" s="1210"/>
      <c r="R74" s="1218"/>
      <c r="S74" s="1219"/>
      <c r="T74" s="1220"/>
      <c r="V74" s="1232"/>
      <c r="W74" s="1236"/>
      <c r="X74" s="1236"/>
      <c r="Y74" s="1237"/>
      <c r="Z74" s="1446"/>
      <c r="AA74" s="1236"/>
      <c r="AB74" s="1237"/>
      <c r="AC74" s="1232"/>
      <c r="AD74" s="1236"/>
      <c r="AE74" s="1236"/>
      <c r="AF74" s="1236"/>
      <c r="AG74" s="1236"/>
      <c r="AH74" s="1236"/>
      <c r="AI74" s="1236"/>
      <c r="AJ74" s="1236"/>
      <c r="AK74" s="1236"/>
      <c r="AL74" s="1236"/>
      <c r="AM74" s="1236"/>
      <c r="AN74" s="1613"/>
      <c r="AO74" s="1614"/>
      <c r="AP74" s="1174"/>
      <c r="AQ74" s="1174"/>
      <c r="AR74" s="1174"/>
      <c r="AW74" s="1615"/>
      <c r="AX74" s="1174"/>
      <c r="AY74" s="1174"/>
    </row>
    <row r="75" spans="2:51" ht="39.75" customHeight="1">
      <c r="B75" s="1769"/>
      <c r="C75" s="1404">
        <v>40</v>
      </c>
      <c r="D75" s="1578" t="s">
        <v>515</v>
      </c>
      <c r="E75" s="1846">
        <v>52317408</v>
      </c>
      <c r="F75" s="1579">
        <v>2348</v>
      </c>
      <c r="G75" s="1580">
        <f>I75/E75</f>
        <v>0.0009873577834742884</v>
      </c>
      <c r="H75" s="1305">
        <v>22</v>
      </c>
      <c r="I75" s="1847">
        <f>F75*H75</f>
        <v>51656</v>
      </c>
      <c r="J75" s="1881">
        <v>195174</v>
      </c>
      <c r="K75" s="1581">
        <v>102707</v>
      </c>
      <c r="L75" s="1762">
        <v>-8769320</v>
      </c>
      <c r="M75" s="1583" t="s">
        <v>719</v>
      </c>
      <c r="N75" s="1612" t="s">
        <v>726</v>
      </c>
      <c r="O75" s="1612"/>
      <c r="P75" s="1299">
        <f>'Dettaglio PN - Info per N.I.'!C195</f>
        <v>47481062</v>
      </c>
      <c r="Q75" s="1300">
        <v>16</v>
      </c>
      <c r="R75" s="1301">
        <f>'Dettaglio PN - Info per N.I.'!E195</f>
        <v>46880.8</v>
      </c>
      <c r="S75" s="1329" t="s">
        <v>606</v>
      </c>
      <c r="T75" s="1303">
        <v>2016</v>
      </c>
      <c r="U75" s="1330" t="s">
        <v>606</v>
      </c>
      <c r="V75" s="1299">
        <f>SUM(W75:Y75)</f>
        <v>103173.35</v>
      </c>
      <c r="W75" s="1305">
        <f>(41998+4818+4840)</f>
        <v>51656</v>
      </c>
      <c r="X75" s="1305">
        <v>0</v>
      </c>
      <c r="Y75" s="1306">
        <f>(20502+15472.35+15543)</f>
        <v>51517.35</v>
      </c>
      <c r="Z75" s="1585">
        <f>V75</f>
        <v>103173.35</v>
      </c>
      <c r="AA75" s="1305">
        <f aca="true" t="shared" si="9" ref="AA75:AA97">X75</f>
        <v>0</v>
      </c>
      <c r="AB75" s="1306">
        <f aca="true" t="shared" si="10" ref="AB75:AB97">Y75</f>
        <v>51517.35</v>
      </c>
      <c r="AC75" s="1586">
        <f>V75</f>
        <v>103173.35</v>
      </c>
      <c r="AD75" s="1305"/>
      <c r="AE75" s="1305"/>
      <c r="AF75" s="1305"/>
      <c r="AG75" s="1305"/>
      <c r="AH75" s="1305"/>
      <c r="AI75" s="1305"/>
      <c r="AJ75" s="1305"/>
      <c r="AK75" s="1305"/>
      <c r="AL75" s="1305"/>
      <c r="AM75" s="1588">
        <f>SUM(AC75:AL75)</f>
        <v>103173.35</v>
      </c>
      <c r="AN75" s="1589"/>
      <c r="AO75" s="1616"/>
      <c r="AP75" s="1377"/>
      <c r="AQ75" s="1377"/>
      <c r="AR75" s="1377">
        <f>AM75</f>
        <v>103173.35</v>
      </c>
      <c r="AS75" s="1174"/>
      <c r="AT75" s="1174"/>
      <c r="AX75" s="1174"/>
      <c r="AY75" s="1174"/>
    </row>
    <row r="76" spans="2:51" ht="12.75">
      <c r="B76" s="1739"/>
      <c r="C76" s="1606"/>
      <c r="D76" s="1318" t="s">
        <v>486</v>
      </c>
      <c r="E76" s="1826"/>
      <c r="F76" s="1214">
        <f>E75/H75</f>
        <v>2378064</v>
      </c>
      <c r="G76" s="1254"/>
      <c r="H76" s="1214"/>
      <c r="I76" s="1825"/>
      <c r="J76" s="1886"/>
      <c r="K76" s="1445"/>
      <c r="L76" s="1770"/>
      <c r="P76" s="1232"/>
      <c r="Q76" s="1245"/>
      <c r="R76" s="1218"/>
      <c r="S76" s="1232"/>
      <c r="T76" s="1220"/>
      <c r="U76" s="1218"/>
      <c r="V76" s="1232"/>
      <c r="W76" s="1236"/>
      <c r="X76" s="1236"/>
      <c r="Y76" s="1237"/>
      <c r="Z76" s="1446"/>
      <c r="AA76" s="1236"/>
      <c r="AB76" s="1237"/>
      <c r="AC76" s="1232"/>
      <c r="AD76" s="1236"/>
      <c r="AE76" s="1236"/>
      <c r="AF76" s="1236"/>
      <c r="AG76" s="1236"/>
      <c r="AH76" s="1236"/>
      <c r="AI76" s="1236"/>
      <c r="AJ76" s="1236"/>
      <c r="AK76" s="1236"/>
      <c r="AL76" s="1236"/>
      <c r="AM76" s="1236"/>
      <c r="AN76" s="1613"/>
      <c r="AO76" s="1614"/>
      <c r="AP76" s="1174"/>
      <c r="AQ76" s="1174"/>
      <c r="AR76" s="1174"/>
      <c r="AY76" s="1174"/>
    </row>
    <row r="77" spans="2:51" ht="39.75" customHeight="1">
      <c r="B77" s="1771"/>
      <c r="C77" s="1617">
        <v>21</v>
      </c>
      <c r="D77" s="1578" t="s">
        <v>516</v>
      </c>
      <c r="E77" s="1846">
        <v>20492451.72</v>
      </c>
      <c r="F77" s="1579">
        <v>386325</v>
      </c>
      <c r="G77" s="1580">
        <f>I77/E77</f>
        <v>0.009803072992185632</v>
      </c>
      <c r="H77" s="1305">
        <v>0.52</v>
      </c>
      <c r="I77" s="1847">
        <f>F77*H77</f>
        <v>200889</v>
      </c>
      <c r="J77" s="1618" t="s">
        <v>606</v>
      </c>
      <c r="K77" s="1618" t="s">
        <v>606</v>
      </c>
      <c r="L77" s="1772" t="s">
        <v>606</v>
      </c>
      <c r="M77" s="1583" t="s">
        <v>719</v>
      </c>
      <c r="N77" s="1612" t="s">
        <v>726</v>
      </c>
      <c r="O77" s="1612"/>
      <c r="P77" s="1331" t="s">
        <v>265</v>
      </c>
      <c r="Q77" s="1315" t="s">
        <v>265</v>
      </c>
      <c r="R77" s="1332" t="s">
        <v>265</v>
      </c>
      <c r="S77" s="1331" t="s">
        <v>265</v>
      </c>
      <c r="T77" s="1303" t="s">
        <v>265</v>
      </c>
      <c r="U77" s="1332" t="s">
        <v>265</v>
      </c>
      <c r="V77" s="1299">
        <f>ROUND(((4856269000)/1936.27+1200249.98+39212.16),2)</f>
        <v>3747515.77</v>
      </c>
      <c r="W77" s="1305">
        <f>(2525259.88+1208484.16+39212.16)</f>
        <v>3772956.2</v>
      </c>
      <c r="X77" s="1305">
        <v>0</v>
      </c>
      <c r="Y77" s="1306">
        <v>0</v>
      </c>
      <c r="Z77" s="1585">
        <f>V77</f>
        <v>3747515.77</v>
      </c>
      <c r="AA77" s="1305">
        <f t="shared" si="9"/>
        <v>0</v>
      </c>
      <c r="AB77" s="1306">
        <f t="shared" si="10"/>
        <v>0</v>
      </c>
      <c r="AC77" s="1586">
        <v>1</v>
      </c>
      <c r="AD77" s="1305"/>
      <c r="AE77" s="1305"/>
      <c r="AF77" s="1305"/>
      <c r="AG77" s="1305"/>
      <c r="AH77" s="1305"/>
      <c r="AI77" s="1305"/>
      <c r="AJ77" s="1305"/>
      <c r="AK77" s="1305"/>
      <c r="AL77" s="1305"/>
      <c r="AM77" s="1588">
        <f>SUM(AC77:AL77)</f>
        <v>1</v>
      </c>
      <c r="AN77" s="1589"/>
      <c r="AO77" s="1619"/>
      <c r="AP77" s="1377"/>
      <c r="AQ77" s="1377"/>
      <c r="AR77" s="1377">
        <f>AM77</f>
        <v>1</v>
      </c>
      <c r="AT77" s="1174"/>
      <c r="AY77" s="1174"/>
    </row>
    <row r="78" spans="2:51" ht="12.75">
      <c r="B78" s="1773"/>
      <c r="D78" s="1231" t="s">
        <v>560</v>
      </c>
      <c r="E78" s="1829"/>
      <c r="F78" s="1298">
        <f>E77/H77</f>
        <v>39408561</v>
      </c>
      <c r="G78" s="1460"/>
      <c r="H78" s="1269"/>
      <c r="I78" s="1830"/>
      <c r="J78" s="1887"/>
      <c r="K78" s="1462"/>
      <c r="L78" s="1774"/>
      <c r="M78" s="1463"/>
      <c r="N78" s="1463"/>
      <c r="O78" s="1463"/>
      <c r="P78" s="1232"/>
      <c r="Q78" s="1333"/>
      <c r="R78" s="1211"/>
      <c r="S78" s="1232"/>
      <c r="T78" s="1220"/>
      <c r="U78" s="1211"/>
      <c r="V78" s="1232"/>
      <c r="W78" s="1236"/>
      <c r="X78" s="1236"/>
      <c r="Y78" s="1237"/>
      <c r="Z78" s="1441"/>
      <c r="AA78" s="1236"/>
      <c r="AB78" s="1237"/>
      <c r="AC78" s="1297"/>
      <c r="AD78" s="1269"/>
      <c r="AE78" s="1236"/>
      <c r="AF78" s="1236"/>
      <c r="AG78" s="1236"/>
      <c r="AH78" s="1236"/>
      <c r="AI78" s="1236"/>
      <c r="AJ78" s="1236"/>
      <c r="AK78" s="1269"/>
      <c r="AL78" s="1236"/>
      <c r="AM78" s="1236"/>
      <c r="AN78" s="1620"/>
      <c r="AO78" s="1621"/>
      <c r="AP78" s="1174"/>
      <c r="AQ78" s="1174"/>
      <c r="AR78" s="1174"/>
      <c r="AY78" s="1174"/>
    </row>
    <row r="79" spans="2:46" ht="39.75" customHeight="1">
      <c r="B79" s="1771"/>
      <c r="C79" s="1617">
        <v>11</v>
      </c>
      <c r="D79" s="1578" t="s">
        <v>517</v>
      </c>
      <c r="E79" s="1846">
        <v>7660966.74</v>
      </c>
      <c r="F79" s="1579">
        <v>390015</v>
      </c>
      <c r="G79" s="1580">
        <f>I79/E79</f>
        <v>0.10843696079014695</v>
      </c>
      <c r="H79" s="1305">
        <v>2.13</v>
      </c>
      <c r="I79" s="1847">
        <f>F79*H79</f>
        <v>830731.95</v>
      </c>
      <c r="J79" s="1618" t="s">
        <v>606</v>
      </c>
      <c r="K79" s="1618" t="s">
        <v>606</v>
      </c>
      <c r="L79" s="1772" t="s">
        <v>606</v>
      </c>
      <c r="M79" s="1583" t="s">
        <v>719</v>
      </c>
      <c r="N79" s="1612" t="s">
        <v>726</v>
      </c>
      <c r="O79" s="1612"/>
      <c r="P79" s="1331" t="s">
        <v>265</v>
      </c>
      <c r="Q79" s="1315" t="s">
        <v>265</v>
      </c>
      <c r="R79" s="1332" t="s">
        <v>265</v>
      </c>
      <c r="S79" s="1331" t="s">
        <v>265</v>
      </c>
      <c r="T79" s="1303" t="s">
        <v>265</v>
      </c>
      <c r="U79" s="1332" t="s">
        <v>265</v>
      </c>
      <c r="V79" s="1299">
        <f>ROUND(2854290/1936.27,2)+2407.2+5515971.36</f>
        <v>5519852.680000001</v>
      </c>
      <c r="W79" s="1305">
        <f>(1794+1020+2337276)</f>
        <v>2340090</v>
      </c>
      <c r="X79" s="1305">
        <v>0</v>
      </c>
      <c r="Y79" s="1306">
        <f>ROUND((343000+131290)/1936.27,2)+(170*8.16)+(389546*8.16)</f>
        <v>3180327.51</v>
      </c>
      <c r="Z79" s="1585">
        <f>V79</f>
        <v>5519852.680000001</v>
      </c>
      <c r="AA79" s="1305">
        <f t="shared" si="9"/>
        <v>0</v>
      </c>
      <c r="AB79" s="1306">
        <f t="shared" si="10"/>
        <v>3180327.51</v>
      </c>
      <c r="AC79" s="1586">
        <f>V79+'Variazioni di valore IAS-IFRS'!P182</f>
        <v>1.0000000009313226</v>
      </c>
      <c r="AD79" s="1305"/>
      <c r="AE79" s="1305"/>
      <c r="AF79" s="1305"/>
      <c r="AG79" s="1305"/>
      <c r="AH79" s="1305"/>
      <c r="AI79" s="1305"/>
      <c r="AJ79" s="1305"/>
      <c r="AK79" s="1305"/>
      <c r="AL79" s="1305"/>
      <c r="AM79" s="1588">
        <f>SUM(AC79:AL79)</f>
        <v>1.0000000009313226</v>
      </c>
      <c r="AN79" s="1589"/>
      <c r="AO79" s="1619"/>
      <c r="AP79" s="1377"/>
      <c r="AQ79" s="1377"/>
      <c r="AR79" s="1377">
        <f>AM79</f>
        <v>1.0000000009313226</v>
      </c>
      <c r="AT79" s="1174"/>
    </row>
    <row r="80" spans="2:44" ht="12.75">
      <c r="B80" s="1773"/>
      <c r="D80" s="1231" t="s">
        <v>488</v>
      </c>
      <c r="E80" s="1829"/>
      <c r="F80" s="1622">
        <f>E79/H79</f>
        <v>3596698.0000000005</v>
      </c>
      <c r="G80" s="1214"/>
      <c r="H80" s="1298"/>
      <c r="I80" s="1845"/>
      <c r="J80" s="1888"/>
      <c r="K80" s="1445"/>
      <c r="L80" s="1775"/>
      <c r="P80" s="1232"/>
      <c r="Q80" s="1241"/>
      <c r="R80" s="1211"/>
      <c r="S80" s="1212"/>
      <c r="T80" s="1220"/>
      <c r="V80" s="1232"/>
      <c r="W80" s="1269"/>
      <c r="X80" s="1269"/>
      <c r="Y80" s="1237"/>
      <c r="Z80" s="1441"/>
      <c r="AA80" s="1236"/>
      <c r="AB80" s="1237"/>
      <c r="AC80" s="1217"/>
      <c r="AD80" s="1269"/>
      <c r="AE80" s="1236"/>
      <c r="AF80" s="1236"/>
      <c r="AG80" s="1236"/>
      <c r="AH80" s="1236"/>
      <c r="AI80" s="1236"/>
      <c r="AJ80" s="1236"/>
      <c r="AK80" s="1236"/>
      <c r="AL80" s="1269"/>
      <c r="AM80" s="1236"/>
      <c r="AN80" s="1620"/>
      <c r="AO80" s="1403"/>
      <c r="AP80" s="1174"/>
      <c r="AQ80" s="1174"/>
      <c r="AR80" s="1174"/>
    </row>
    <row r="81" spans="2:46" s="1444" customFormat="1" ht="39.75" customHeight="1">
      <c r="B81" s="1761"/>
      <c r="C81" s="1404">
        <v>41</v>
      </c>
      <c r="D81" s="1578" t="s">
        <v>518</v>
      </c>
      <c r="E81" s="1846">
        <v>2722944</v>
      </c>
      <c r="F81" s="1579">
        <v>211920</v>
      </c>
      <c r="G81" s="1580">
        <f>I81/E81</f>
        <v>0.07782752785220702</v>
      </c>
      <c r="H81" s="1305">
        <v>1</v>
      </c>
      <c r="I81" s="1847">
        <f>F81*H81</f>
        <v>211920</v>
      </c>
      <c r="J81" s="1889">
        <v>-2303572</v>
      </c>
      <c r="K81" s="1582">
        <v>-511106</v>
      </c>
      <c r="L81" s="1776">
        <v>-381926</v>
      </c>
      <c r="M81" s="1583" t="s">
        <v>719</v>
      </c>
      <c r="N81" s="1612" t="s">
        <v>726</v>
      </c>
      <c r="O81" s="1612"/>
      <c r="P81" s="1299">
        <f>'Dettaglio PN - Info per N.I.'!C203</f>
        <v>35181740</v>
      </c>
      <c r="Q81" s="1300">
        <v>15</v>
      </c>
      <c r="R81" s="1301">
        <f>'Dettaglio PN - Info per N.I.'!E203</f>
        <v>2738107.85</v>
      </c>
      <c r="S81" s="1302">
        <f>37084781</f>
        <v>37084781</v>
      </c>
      <c r="T81" s="1303">
        <v>2016</v>
      </c>
      <c r="U81" s="1304">
        <f>ROUND(S81*G81,2)</f>
        <v>2886216.83</v>
      </c>
      <c r="V81" s="1299">
        <v>107500</v>
      </c>
      <c r="W81" s="1305">
        <v>211920</v>
      </c>
      <c r="X81" s="1305">
        <v>0</v>
      </c>
      <c r="Y81" s="1306">
        <v>0</v>
      </c>
      <c r="Z81" s="1585">
        <f>V81</f>
        <v>107500</v>
      </c>
      <c r="AA81" s="1305">
        <f t="shared" si="9"/>
        <v>0</v>
      </c>
      <c r="AB81" s="1306">
        <f t="shared" si="10"/>
        <v>0</v>
      </c>
      <c r="AC81" s="1586">
        <f>V81</f>
        <v>107500</v>
      </c>
      <c r="AD81" s="1305"/>
      <c r="AE81" s="1305"/>
      <c r="AF81" s="1305"/>
      <c r="AG81" s="1305"/>
      <c r="AH81" s="1305"/>
      <c r="AI81" s="1305">
        <f>'Variazioni di valore IAS-IFRS'!R12</f>
        <v>-107499</v>
      </c>
      <c r="AJ81" s="1305"/>
      <c r="AK81" s="1305"/>
      <c r="AL81" s="1305"/>
      <c r="AM81" s="1588">
        <f>SUM(AC81:AL81)</f>
        <v>1</v>
      </c>
      <c r="AN81" s="1589"/>
      <c r="AO81" s="1590"/>
      <c r="AP81" s="1380"/>
      <c r="AQ81" s="1380"/>
      <c r="AR81" s="1377">
        <f>AM81</f>
        <v>1</v>
      </c>
      <c r="AT81" s="1174"/>
    </row>
    <row r="82" spans="2:44" ht="12.75">
      <c r="B82" s="1763"/>
      <c r="D82" s="1318" t="s">
        <v>486</v>
      </c>
      <c r="E82" s="1826"/>
      <c r="F82" s="1214">
        <f>E81/H81</f>
        <v>2722944</v>
      </c>
      <c r="G82" s="1254"/>
      <c r="H82" s="1214"/>
      <c r="I82" s="1825"/>
      <c r="J82" s="1886"/>
      <c r="K82" s="1445"/>
      <c r="L82" s="1770"/>
      <c r="P82" s="1232"/>
      <c r="Q82" s="1245"/>
      <c r="R82" s="1218"/>
      <c r="S82" s="1219"/>
      <c r="T82" s="1220"/>
      <c r="V82" s="1232"/>
      <c r="W82" s="1236"/>
      <c r="X82" s="1236"/>
      <c r="Y82" s="1237"/>
      <c r="Z82" s="1446"/>
      <c r="AA82" s="1236"/>
      <c r="AB82" s="1237"/>
      <c r="AC82" s="1232"/>
      <c r="AD82" s="1236"/>
      <c r="AE82" s="1236"/>
      <c r="AF82" s="1236"/>
      <c r="AG82" s="1236"/>
      <c r="AH82" s="1236"/>
      <c r="AI82" s="1236"/>
      <c r="AJ82" s="1236"/>
      <c r="AK82" s="1236"/>
      <c r="AL82" s="1236"/>
      <c r="AM82" s="1236"/>
      <c r="AN82" s="1237"/>
      <c r="AO82" s="1403"/>
      <c r="AP82" s="1174"/>
      <c r="AQ82" s="1174"/>
      <c r="AR82" s="1174"/>
    </row>
    <row r="83" spans="2:46" ht="39.75" customHeight="1">
      <c r="B83" s="1777"/>
      <c r="C83" s="1404">
        <v>42</v>
      </c>
      <c r="D83" s="1578" t="s">
        <v>524</v>
      </c>
      <c r="E83" s="1846">
        <v>59379863</v>
      </c>
      <c r="F83" s="1579">
        <v>947</v>
      </c>
      <c r="G83" s="1623" t="s">
        <v>187</v>
      </c>
      <c r="H83" s="1305">
        <v>52.5</v>
      </c>
      <c r="I83" s="1847">
        <f>F83*H83</f>
        <v>49717.5</v>
      </c>
      <c r="J83" s="1889">
        <v>4317890</v>
      </c>
      <c r="K83" s="1582">
        <v>758049</v>
      </c>
      <c r="L83" s="1776">
        <v>3187558</v>
      </c>
      <c r="M83" s="1583" t="s">
        <v>719</v>
      </c>
      <c r="N83" s="1612" t="s">
        <v>726</v>
      </c>
      <c r="O83" s="1612"/>
      <c r="P83" s="1299">
        <f>'Dettaglio PN - Info per N.I.'!C213</f>
        <v>85424264</v>
      </c>
      <c r="Q83" s="1300">
        <v>16</v>
      </c>
      <c r="R83" s="1301">
        <f>'Dettaglio PN - Info per N.I.'!E213</f>
        <v>71523.93</v>
      </c>
      <c r="S83" s="1329" t="s">
        <v>606</v>
      </c>
      <c r="T83" s="1303">
        <v>2016</v>
      </c>
      <c r="U83" s="1330" t="s">
        <v>606</v>
      </c>
      <c r="V83" s="1299">
        <v>39500</v>
      </c>
      <c r="W83" s="1305">
        <v>49717.5</v>
      </c>
      <c r="X83" s="1305">
        <v>0</v>
      </c>
      <c r="Y83" s="1306">
        <v>0</v>
      </c>
      <c r="Z83" s="1585">
        <f>V83</f>
        <v>39500</v>
      </c>
      <c r="AA83" s="1305">
        <f t="shared" si="9"/>
        <v>0</v>
      </c>
      <c r="AB83" s="1306">
        <f t="shared" si="10"/>
        <v>0</v>
      </c>
      <c r="AC83" s="1586">
        <f>V83</f>
        <v>39500</v>
      </c>
      <c r="AD83" s="1305"/>
      <c r="AE83" s="1305"/>
      <c r="AF83" s="1305"/>
      <c r="AG83" s="1305"/>
      <c r="AH83" s="1305"/>
      <c r="AI83" s="1305"/>
      <c r="AJ83" s="1305"/>
      <c r="AK83" s="1305"/>
      <c r="AL83" s="1305"/>
      <c r="AM83" s="1588">
        <f>SUM(AC83:AL83)</f>
        <v>39500</v>
      </c>
      <c r="AN83" s="1589"/>
      <c r="AO83" s="1624"/>
      <c r="AP83" s="1377">
        <f>AM83</f>
        <v>39500</v>
      </c>
      <c r="AQ83" s="1377"/>
      <c r="AR83" s="1377"/>
      <c r="AT83" s="1174"/>
    </row>
    <row r="84" spans="2:44" ht="12.75">
      <c r="B84" s="1763"/>
      <c r="D84" s="1318" t="s">
        <v>486</v>
      </c>
      <c r="E84" s="1826"/>
      <c r="F84" s="1602">
        <f>E83/H83</f>
        <v>1131045.0095238094</v>
      </c>
      <c r="G84" s="1625">
        <f>I83/E83</f>
        <v>0.0008372787926438968</v>
      </c>
      <c r="H84" s="1214"/>
      <c r="I84" s="1825"/>
      <c r="J84" s="1886"/>
      <c r="K84" s="1445"/>
      <c r="L84" s="1770"/>
      <c r="P84" s="1232"/>
      <c r="Q84" s="1245"/>
      <c r="R84" s="1218"/>
      <c r="S84" s="1219"/>
      <c r="T84" s="1220"/>
      <c r="V84" s="1232"/>
      <c r="W84" s="1236"/>
      <c r="X84" s="1236"/>
      <c r="Y84" s="1237"/>
      <c r="Z84" s="1446"/>
      <c r="AA84" s="1236"/>
      <c r="AB84" s="1237"/>
      <c r="AC84" s="1232"/>
      <c r="AD84" s="1236"/>
      <c r="AE84" s="1236"/>
      <c r="AF84" s="1236"/>
      <c r="AG84" s="1236"/>
      <c r="AH84" s="1236"/>
      <c r="AI84" s="1236"/>
      <c r="AJ84" s="1236"/>
      <c r="AK84" s="1236"/>
      <c r="AL84" s="1236"/>
      <c r="AM84" s="1236"/>
      <c r="AN84" s="1613"/>
      <c r="AO84" s="1626"/>
      <c r="AP84" s="1174"/>
      <c r="AQ84" s="1174"/>
      <c r="AR84" s="1174"/>
    </row>
    <row r="85" spans="2:46" ht="39.75" customHeight="1">
      <c r="B85" s="1771"/>
      <c r="C85" s="1617">
        <v>22</v>
      </c>
      <c r="D85" s="1578" t="s">
        <v>525</v>
      </c>
      <c r="E85" s="1846">
        <v>80000</v>
      </c>
      <c r="F85" s="1598" t="s">
        <v>183</v>
      </c>
      <c r="G85" s="1580">
        <f>I85/E85</f>
        <v>0.1</v>
      </c>
      <c r="H85" s="1305"/>
      <c r="I85" s="1847">
        <v>8000</v>
      </c>
      <c r="J85" s="1618" t="s">
        <v>606</v>
      </c>
      <c r="K85" s="1618" t="s">
        <v>606</v>
      </c>
      <c r="L85" s="1772" t="s">
        <v>606</v>
      </c>
      <c r="M85" s="1583" t="s">
        <v>719</v>
      </c>
      <c r="N85" s="1612" t="s">
        <v>726</v>
      </c>
      <c r="O85" s="1612"/>
      <c r="P85" s="1331" t="s">
        <v>265</v>
      </c>
      <c r="Q85" s="1315" t="s">
        <v>265</v>
      </c>
      <c r="R85" s="1332" t="s">
        <v>265</v>
      </c>
      <c r="S85" s="1331" t="s">
        <v>265</v>
      </c>
      <c r="T85" s="1303" t="s">
        <v>265</v>
      </c>
      <c r="U85" s="1332" t="s">
        <v>265</v>
      </c>
      <c r="V85" s="1299">
        <f>(5164.57+118257.7+10833.33+8000)</f>
        <v>142255.59999999998</v>
      </c>
      <c r="W85" s="1305">
        <f>(5164.57+10833.33+8000)</f>
        <v>23997.9</v>
      </c>
      <c r="X85" s="1305">
        <v>0</v>
      </c>
      <c r="Y85" s="1306">
        <v>0</v>
      </c>
      <c r="Z85" s="1585">
        <f>W85</f>
        <v>23997.9</v>
      </c>
      <c r="AA85" s="1305">
        <f t="shared" si="9"/>
        <v>0</v>
      </c>
      <c r="AB85" s="1306">
        <f t="shared" si="10"/>
        <v>0</v>
      </c>
      <c r="AC85" s="1586">
        <v>1</v>
      </c>
      <c r="AD85" s="1305"/>
      <c r="AE85" s="1305"/>
      <c r="AF85" s="1305"/>
      <c r="AG85" s="1305"/>
      <c r="AH85" s="1305"/>
      <c r="AI85" s="1305"/>
      <c r="AJ85" s="1305"/>
      <c r="AK85" s="1305"/>
      <c r="AL85" s="1305"/>
      <c r="AM85" s="1588">
        <f>SUM(AC85:AL85)</f>
        <v>1</v>
      </c>
      <c r="AN85" s="1589"/>
      <c r="AO85" s="1627"/>
      <c r="AP85" s="1377"/>
      <c r="AQ85" s="1377"/>
      <c r="AR85" s="1377">
        <f>AM85</f>
        <v>1</v>
      </c>
      <c r="AT85" s="1174"/>
    </row>
    <row r="86" spans="2:44" ht="12.75">
      <c r="B86" s="1773"/>
      <c r="D86" s="1334" t="s">
        <v>489</v>
      </c>
      <c r="E86" s="1829"/>
      <c r="F86" s="1298"/>
      <c r="G86" s="1460"/>
      <c r="H86" s="1298"/>
      <c r="I86" s="1845"/>
      <c r="J86" s="1888"/>
      <c r="K86" s="1445"/>
      <c r="L86" s="1775"/>
      <c r="P86" s="1232"/>
      <c r="Q86" s="1233"/>
      <c r="R86" s="1211"/>
      <c r="S86" s="1212"/>
      <c r="T86" s="1220"/>
      <c r="V86" s="1232"/>
      <c r="W86" s="1236"/>
      <c r="X86" s="1236"/>
      <c r="Y86" s="1237"/>
      <c r="Z86" s="1441"/>
      <c r="AA86" s="1236"/>
      <c r="AB86" s="1237"/>
      <c r="AC86" s="1297"/>
      <c r="AD86" s="1269"/>
      <c r="AE86" s="1236"/>
      <c r="AF86" s="1236"/>
      <c r="AG86" s="1236"/>
      <c r="AH86" s="1236"/>
      <c r="AI86" s="1236"/>
      <c r="AJ86" s="1236"/>
      <c r="AK86" s="1236"/>
      <c r="AL86" s="1269"/>
      <c r="AM86" s="1236"/>
      <c r="AN86" s="1620"/>
      <c r="AO86" s="1403"/>
      <c r="AP86" s="1174"/>
      <c r="AQ86" s="1174"/>
      <c r="AR86" s="1174"/>
    </row>
    <row r="87" spans="2:70" s="1444" customFormat="1" ht="39.75" customHeight="1">
      <c r="B87" s="1761"/>
      <c r="C87" s="1404">
        <v>17</v>
      </c>
      <c r="D87" s="1578" t="s">
        <v>519</v>
      </c>
      <c r="E87" s="1846">
        <v>450729</v>
      </c>
      <c r="F87" s="1579">
        <v>14217</v>
      </c>
      <c r="G87" s="1580">
        <f>I87/E87</f>
        <v>0.031542234912774636</v>
      </c>
      <c r="H87" s="1305">
        <v>1</v>
      </c>
      <c r="I87" s="1847">
        <f>F87*H87</f>
        <v>14217</v>
      </c>
      <c r="J87" s="1889">
        <v>-852893</v>
      </c>
      <c r="K87" s="1582">
        <v>342001</v>
      </c>
      <c r="L87" s="1776">
        <v>-56449144</v>
      </c>
      <c r="M87" s="1583" t="s">
        <v>719</v>
      </c>
      <c r="N87" s="1583" t="s">
        <v>723</v>
      </c>
      <c r="O87" s="1583"/>
      <c r="P87" s="1299">
        <f>'Dettaglio PN - Info per N.I.'!C222</f>
        <v>52836</v>
      </c>
      <c r="Q87" s="1300">
        <v>16</v>
      </c>
      <c r="R87" s="1301">
        <f>'Dettaglio PN - Info per N.I.'!E222</f>
        <v>1666.57</v>
      </c>
      <c r="S87" s="1329" t="s">
        <v>606</v>
      </c>
      <c r="T87" s="1303">
        <v>2016</v>
      </c>
      <c r="U87" s="1330" t="s">
        <v>606</v>
      </c>
      <c r="V87" s="1299">
        <f>ROUND((330000000/1936.27/2),2)+56784+36750+231811.5+212750+3440000+300000</f>
        <v>4363310.890000001</v>
      </c>
      <c r="W87" s="1305">
        <f>(2251874+150000)</f>
        <v>2401874</v>
      </c>
      <c r="X87" s="1305">
        <v>0</v>
      </c>
      <c r="Y87" s="1306">
        <f>ROUND((30000000/1936.27/2)+(0.05*54080)+(0.05*35000)+(0.5*154541)+106375+1720000,2)+150000</f>
        <v>2065846.35</v>
      </c>
      <c r="Z87" s="1585">
        <f>V87</f>
        <v>4363310.890000001</v>
      </c>
      <c r="AA87" s="1305">
        <f t="shared" si="9"/>
        <v>0</v>
      </c>
      <c r="AB87" s="1306">
        <f t="shared" si="10"/>
        <v>2065846.35</v>
      </c>
      <c r="AC87" s="1586">
        <f>V87+'Variazioni di valore IAS-IFRS'!P193</f>
        <v>1.0000000009313226</v>
      </c>
      <c r="AD87" s="1305"/>
      <c r="AE87" s="1305"/>
      <c r="AF87" s="1305"/>
      <c r="AG87" s="1305"/>
      <c r="AH87" s="1305"/>
      <c r="AI87" s="1305"/>
      <c r="AJ87" s="1305"/>
      <c r="AK87" s="1305"/>
      <c r="AL87" s="1305"/>
      <c r="AM87" s="1588">
        <f>SUM(AC87:AL87)</f>
        <v>1.0000000009313226</v>
      </c>
      <c r="AN87" s="1589"/>
      <c r="AO87" s="1619" t="s">
        <v>139</v>
      </c>
      <c r="AP87" s="1377"/>
      <c r="AQ87" s="1377"/>
      <c r="AR87" s="1377">
        <f>AM87</f>
        <v>1.0000000009313226</v>
      </c>
      <c r="AT87" s="1174"/>
      <c r="BR87" s="1179"/>
    </row>
    <row r="88" spans="2:44" ht="12.75">
      <c r="B88" s="1773"/>
      <c r="D88" s="1231" t="s">
        <v>490</v>
      </c>
      <c r="E88" s="1829"/>
      <c r="F88" s="1622">
        <f>E87/H87</f>
        <v>450729</v>
      </c>
      <c r="G88" s="1460"/>
      <c r="H88" s="1298"/>
      <c r="I88" s="1845"/>
      <c r="J88" s="1888"/>
      <c r="K88" s="1445"/>
      <c r="L88" s="1775"/>
      <c r="P88" s="1232"/>
      <c r="Q88" s="1241"/>
      <c r="R88" s="1211"/>
      <c r="S88" s="1212"/>
      <c r="T88" s="1220"/>
      <c r="V88" s="1232"/>
      <c r="W88" s="1269"/>
      <c r="X88" s="1269"/>
      <c r="Y88" s="1237"/>
      <c r="Z88" s="1441"/>
      <c r="AA88" s="1236"/>
      <c r="AB88" s="1237"/>
      <c r="AC88" s="1217"/>
      <c r="AD88" s="1269"/>
      <c r="AE88" s="1236"/>
      <c r="AF88" s="1236"/>
      <c r="AG88" s="1236"/>
      <c r="AH88" s="1236"/>
      <c r="AI88" s="1236"/>
      <c r="AJ88" s="1236"/>
      <c r="AK88" s="1236"/>
      <c r="AL88" s="1269"/>
      <c r="AM88" s="1236"/>
      <c r="AN88" s="1620"/>
      <c r="AO88" s="1403"/>
      <c r="AP88" s="1174"/>
      <c r="AQ88" s="1174"/>
      <c r="AR88" s="1174"/>
    </row>
    <row r="89" spans="2:70" s="1444" customFormat="1" ht="39.75" customHeight="1">
      <c r="B89" s="1761"/>
      <c r="C89" s="1617">
        <v>61</v>
      </c>
      <c r="D89" s="1578" t="s">
        <v>520</v>
      </c>
      <c r="E89" s="1846">
        <v>2071480</v>
      </c>
      <c r="F89" s="1579">
        <f>12358</f>
        <v>12358</v>
      </c>
      <c r="G89" s="1580">
        <f>I89/E89</f>
        <v>0.05965782918493058</v>
      </c>
      <c r="H89" s="1305">
        <v>10</v>
      </c>
      <c r="I89" s="1847">
        <f>F89*H89</f>
        <v>123580</v>
      </c>
      <c r="J89" s="1618" t="s">
        <v>606</v>
      </c>
      <c r="K89" s="1618" t="s">
        <v>606</v>
      </c>
      <c r="L89" s="1776">
        <v>-237697</v>
      </c>
      <c r="M89" s="1583" t="s">
        <v>719</v>
      </c>
      <c r="N89" s="1612" t="s">
        <v>726</v>
      </c>
      <c r="O89" s="1612"/>
      <c r="P89" s="1299">
        <f>'Dettaglio PN - Info per N.I.'!C229</f>
        <v>-10973350</v>
      </c>
      <c r="Q89" s="1300">
        <v>15</v>
      </c>
      <c r="R89" s="1301">
        <f>'Dettaglio PN - Info per N.I.'!E229</f>
        <v>-654646.24</v>
      </c>
      <c r="S89" s="1331" t="s">
        <v>265</v>
      </c>
      <c r="T89" s="1303" t="s">
        <v>265</v>
      </c>
      <c r="U89" s="1332" t="s">
        <v>265</v>
      </c>
      <c r="V89" s="1299">
        <f>SUM(W89:Y89)</f>
        <v>123580</v>
      </c>
      <c r="W89" s="1305">
        <f>(95000+28580)</f>
        <v>123580</v>
      </c>
      <c r="X89" s="1305">
        <v>0</v>
      </c>
      <c r="Y89" s="1306">
        <v>0</v>
      </c>
      <c r="Z89" s="1585">
        <f>V89</f>
        <v>123580</v>
      </c>
      <c r="AA89" s="1305">
        <f t="shared" si="9"/>
        <v>0</v>
      </c>
      <c r="AB89" s="1306">
        <f t="shared" si="10"/>
        <v>0</v>
      </c>
      <c r="AC89" s="1586">
        <f>V89+'Variazioni di valore IAS-IFRS'!P215</f>
        <v>1</v>
      </c>
      <c r="AD89" s="1305"/>
      <c r="AE89" s="1305"/>
      <c r="AF89" s="1305"/>
      <c r="AG89" s="1305"/>
      <c r="AH89" s="1305"/>
      <c r="AI89" s="1305"/>
      <c r="AJ89" s="1305"/>
      <c r="AK89" s="1305"/>
      <c r="AL89" s="1305"/>
      <c r="AM89" s="1588">
        <f>SUM(AC89:AL89)</f>
        <v>1</v>
      </c>
      <c r="AN89" s="1589"/>
      <c r="AO89" s="1590"/>
      <c r="AP89" s="1377"/>
      <c r="AQ89" s="1377"/>
      <c r="AR89" s="1377">
        <f>AM89</f>
        <v>1</v>
      </c>
      <c r="AS89" s="1179"/>
      <c r="AT89" s="1174"/>
      <c r="BR89" s="1179"/>
    </row>
    <row r="90" spans="2:70" s="1444" customFormat="1" ht="12.75">
      <c r="B90" s="1778"/>
      <c r="C90" s="1382"/>
      <c r="D90" s="1318" t="s">
        <v>584</v>
      </c>
      <c r="E90" s="1826"/>
      <c r="F90" s="1214">
        <f>E89/H89</f>
        <v>207148</v>
      </c>
      <c r="G90" s="1254"/>
      <c r="H90" s="1236"/>
      <c r="I90" s="1830"/>
      <c r="J90" s="1887"/>
      <c r="K90" s="1462"/>
      <c r="L90" s="1774"/>
      <c r="M90" s="1463"/>
      <c r="N90" s="1463"/>
      <c r="O90" s="1463"/>
      <c r="P90" s="1232"/>
      <c r="Q90" s="1245" t="s">
        <v>530</v>
      </c>
      <c r="R90" s="1335"/>
      <c r="S90" s="1336"/>
      <c r="T90" s="1337"/>
      <c r="U90" s="1338"/>
      <c r="V90" s="1232"/>
      <c r="W90" s="1236"/>
      <c r="X90" s="1236"/>
      <c r="Y90" s="1237"/>
      <c r="Z90" s="1628"/>
      <c r="AA90" s="1236"/>
      <c r="AB90" s="1237"/>
      <c r="AC90" s="1232"/>
      <c r="AD90" s="1236"/>
      <c r="AE90" s="1236"/>
      <c r="AF90" s="1236"/>
      <c r="AG90" s="1236"/>
      <c r="AH90" s="1236"/>
      <c r="AI90" s="1236"/>
      <c r="AJ90" s="1236"/>
      <c r="AK90" s="1236"/>
      <c r="AL90" s="1236"/>
      <c r="AM90" s="1236"/>
      <c r="AN90" s="1613"/>
      <c r="AO90" s="1403"/>
      <c r="AP90" s="1174"/>
      <c r="AQ90" s="1174"/>
      <c r="AR90" s="1174"/>
      <c r="AS90" s="1629"/>
      <c r="BR90" s="1179"/>
    </row>
    <row r="91" spans="2:70" s="1444" customFormat="1" ht="39.75" customHeight="1">
      <c r="B91" s="1761"/>
      <c r="C91" s="1404">
        <v>8</v>
      </c>
      <c r="D91" s="1578" t="s">
        <v>521</v>
      </c>
      <c r="E91" s="1846">
        <v>137176770.15</v>
      </c>
      <c r="F91" s="1579">
        <f>(33000+1327+113616)</f>
        <v>147943</v>
      </c>
      <c r="G91" s="1580">
        <f>I91/E91</f>
        <v>0.05570371675644821</v>
      </c>
      <c r="H91" s="1305">
        <v>51.65</v>
      </c>
      <c r="I91" s="1847">
        <f>F91*H91</f>
        <v>7641255.95</v>
      </c>
      <c r="J91" s="1890" t="s">
        <v>756</v>
      </c>
      <c r="K91" s="1630" t="s">
        <v>757</v>
      </c>
      <c r="L91" s="1779" t="s">
        <v>758</v>
      </c>
      <c r="M91" s="1583" t="s">
        <v>719</v>
      </c>
      <c r="N91" s="1612" t="s">
        <v>726</v>
      </c>
      <c r="O91" s="1612"/>
      <c r="P91" s="1299">
        <f>'Dettaglio PN - Info per N.I.'!C238</f>
        <v>151153211</v>
      </c>
      <c r="Q91" s="1317">
        <v>42887</v>
      </c>
      <c r="R91" s="1301">
        <f>'Dettaglio PN - Info per N.I.'!E238</f>
        <v>8419795.65</v>
      </c>
      <c r="S91" s="1329" t="s">
        <v>606</v>
      </c>
      <c r="T91" s="1303">
        <v>2016</v>
      </c>
      <c r="U91" s="1330" t="s">
        <v>606</v>
      </c>
      <c r="V91" s="1299">
        <f>ROUND(3300000000/1936.27,2)+5953500</f>
        <v>7657807.77</v>
      </c>
      <c r="W91" s="1305">
        <f>(1772989.55+5868266.4)</f>
        <v>7641255.95</v>
      </c>
      <c r="X91" s="1305">
        <v>0</v>
      </c>
      <c r="Y91" s="1306">
        <v>85233.6</v>
      </c>
      <c r="Z91" s="1585">
        <f>V91</f>
        <v>7657807.77</v>
      </c>
      <c r="AA91" s="1305">
        <f t="shared" si="9"/>
        <v>0</v>
      </c>
      <c r="AB91" s="1306">
        <f t="shared" si="10"/>
        <v>85233.6</v>
      </c>
      <c r="AC91" s="1586">
        <f>V91</f>
        <v>7657807.77</v>
      </c>
      <c r="AD91" s="1305"/>
      <c r="AE91" s="1305"/>
      <c r="AF91" s="1305"/>
      <c r="AG91" s="1305"/>
      <c r="AH91" s="1305"/>
      <c r="AI91" s="1305"/>
      <c r="AJ91" s="1305"/>
      <c r="AK91" s="1305"/>
      <c r="AL91" s="1305"/>
      <c r="AM91" s="1588">
        <f>SUM(AC91:AL91)</f>
        <v>7657807.77</v>
      </c>
      <c r="AN91" s="1589"/>
      <c r="AO91" s="1631"/>
      <c r="AP91" s="1377"/>
      <c r="AQ91" s="1380"/>
      <c r="AR91" s="1632">
        <f>AM91</f>
        <v>7657807.77</v>
      </c>
      <c r="AT91" s="1174"/>
      <c r="BR91" s="1179" t="s">
        <v>188</v>
      </c>
    </row>
    <row r="92" spans="2:44" ht="12.75">
      <c r="B92" s="1773"/>
      <c r="D92" s="1231" t="s">
        <v>491</v>
      </c>
      <c r="E92" s="1829"/>
      <c r="F92" s="1298">
        <f>E91/H91</f>
        <v>2655891</v>
      </c>
      <c r="G92" s="1460"/>
      <c r="H92" s="1298"/>
      <c r="I92" s="1845"/>
      <c r="J92" s="1888"/>
      <c r="K92" s="1445"/>
      <c r="L92" s="1775"/>
      <c r="P92" s="1232"/>
      <c r="Q92" s="1233"/>
      <c r="R92" s="1211"/>
      <c r="S92" s="1212"/>
      <c r="T92" s="1220"/>
      <c r="V92" s="1232"/>
      <c r="W92" s="1236"/>
      <c r="X92" s="1236"/>
      <c r="Y92" s="1237"/>
      <c r="Z92" s="1441"/>
      <c r="AA92" s="1236"/>
      <c r="AB92" s="1237"/>
      <c r="AC92" s="1297"/>
      <c r="AD92" s="1269"/>
      <c r="AE92" s="1236"/>
      <c r="AF92" s="1236"/>
      <c r="AG92" s="1236"/>
      <c r="AH92" s="1236"/>
      <c r="AI92" s="1236"/>
      <c r="AJ92" s="1236"/>
      <c r="AK92" s="1236"/>
      <c r="AL92" s="1269"/>
      <c r="AM92" s="1236"/>
      <c r="AN92" s="1620"/>
      <c r="AO92" s="1403"/>
      <c r="AP92" s="1174"/>
      <c r="AQ92" s="1174"/>
      <c r="AR92" s="1174"/>
    </row>
    <row r="93" spans="2:46" ht="39.75" customHeight="1">
      <c r="B93" s="1777"/>
      <c r="C93" s="1617">
        <v>75</v>
      </c>
      <c r="D93" s="1578" t="s">
        <v>522</v>
      </c>
      <c r="E93" s="1846">
        <v>13288000</v>
      </c>
      <c r="F93" s="1579">
        <f>(240218+200182+189290)</f>
        <v>629690</v>
      </c>
      <c r="G93" s="1580">
        <f>I93/E93</f>
        <v>0.14311136363636365</v>
      </c>
      <c r="H93" s="1305">
        <v>3.02</v>
      </c>
      <c r="I93" s="1847">
        <f>F93*H93</f>
        <v>1901663.8</v>
      </c>
      <c r="J93" s="1889">
        <v>-2357996</v>
      </c>
      <c r="K93" s="1582">
        <v>-4212847</v>
      </c>
      <c r="L93" s="1776">
        <v>-507194</v>
      </c>
      <c r="M93" s="1583" t="s">
        <v>719</v>
      </c>
      <c r="N93" s="1612" t="s">
        <v>726</v>
      </c>
      <c r="O93" s="1612"/>
      <c r="P93" s="1299">
        <f>'Dettaglio PN - Info per N.I.'!C246</f>
        <v>11117639</v>
      </c>
      <c r="Q93" s="1300">
        <v>16</v>
      </c>
      <c r="R93" s="1301">
        <f>'Dettaglio PN - Info per N.I.'!E246</f>
        <v>1591060.48</v>
      </c>
      <c r="S93" s="1302">
        <f>13475635.57-2945378.12</f>
        <v>10530257.45</v>
      </c>
      <c r="T93" s="1303">
        <v>2016</v>
      </c>
      <c r="U93" s="1304">
        <f>ROUND(S93*G93,2)</f>
        <v>1506999.5</v>
      </c>
      <c r="V93" s="1299">
        <v>1</v>
      </c>
      <c r="W93" s="1305">
        <v>1330008</v>
      </c>
      <c r="X93" s="1305">
        <v>0</v>
      </c>
      <c r="Y93" s="1306">
        <v>0</v>
      </c>
      <c r="Z93" s="1585">
        <v>2</v>
      </c>
      <c r="AA93" s="1305">
        <f t="shared" si="9"/>
        <v>0</v>
      </c>
      <c r="AB93" s="1306">
        <f t="shared" si="10"/>
        <v>0</v>
      </c>
      <c r="AC93" s="1586">
        <v>1</v>
      </c>
      <c r="AD93" s="1305">
        <v>1</v>
      </c>
      <c r="AE93" s="1305"/>
      <c r="AF93" s="1305"/>
      <c r="AG93" s="1305"/>
      <c r="AH93" s="1305"/>
      <c r="AI93" s="1305"/>
      <c r="AJ93" s="1305"/>
      <c r="AK93" s="1305"/>
      <c r="AL93" s="1305"/>
      <c r="AM93" s="1588">
        <f>SUM(AC93:AL93)</f>
        <v>2</v>
      </c>
      <c r="AN93" s="1589"/>
      <c r="AO93" s="1339"/>
      <c r="AP93" s="1377"/>
      <c r="AQ93" s="1377"/>
      <c r="AR93" s="1377">
        <f>AM93</f>
        <v>2</v>
      </c>
      <c r="AS93" s="1488"/>
      <c r="AT93" s="1489"/>
    </row>
    <row r="94" spans="2:50" ht="12.75">
      <c r="B94" s="1773"/>
      <c r="D94" s="1231" t="s">
        <v>607</v>
      </c>
      <c r="E94" s="1829"/>
      <c r="F94" s="1269">
        <f>E93/H93</f>
        <v>4400000</v>
      </c>
      <c r="G94" s="1633"/>
      <c r="H94" s="1298"/>
      <c r="I94" s="1845"/>
      <c r="J94" s="1888"/>
      <c r="K94" s="1445"/>
      <c r="L94" s="1775"/>
      <c r="P94" s="1232"/>
      <c r="Q94" s="1241"/>
      <c r="R94" s="1211"/>
      <c r="S94" s="1212"/>
      <c r="T94" s="1220"/>
      <c r="V94" s="1232"/>
      <c r="W94" s="1236"/>
      <c r="X94" s="1236"/>
      <c r="Y94" s="1237"/>
      <c r="Z94" s="1441"/>
      <c r="AA94" s="1236"/>
      <c r="AB94" s="1237"/>
      <c r="AC94" s="1297"/>
      <c r="AD94" s="1269"/>
      <c r="AE94" s="1269"/>
      <c r="AF94" s="1236"/>
      <c r="AG94" s="1236"/>
      <c r="AH94" s="1236"/>
      <c r="AI94" s="1236"/>
      <c r="AJ94" s="1236"/>
      <c r="AK94" s="1236"/>
      <c r="AL94" s="1236"/>
      <c r="AM94" s="1269"/>
      <c r="AN94" s="1620"/>
      <c r="AO94" s="1257"/>
      <c r="AP94" s="1174"/>
      <c r="AQ94" s="1174"/>
      <c r="AR94" s="1174"/>
      <c r="AS94" s="1488"/>
      <c r="AT94" s="1491"/>
      <c r="AV94" s="1388"/>
      <c r="AX94" s="1634"/>
    </row>
    <row r="95" spans="2:46" ht="39.75" customHeight="1">
      <c r="B95" s="1777"/>
      <c r="C95" s="1404">
        <v>43</v>
      </c>
      <c r="D95" s="1578" t="s">
        <v>523</v>
      </c>
      <c r="E95" s="1846">
        <v>990307</v>
      </c>
      <c r="F95" s="1598" t="s">
        <v>183</v>
      </c>
      <c r="G95" s="1580">
        <f>I95/E95</f>
        <v>0.15866190989258885</v>
      </c>
      <c r="H95" s="1305"/>
      <c r="I95" s="1847">
        <v>157124</v>
      </c>
      <c r="J95" s="1889">
        <v>7046</v>
      </c>
      <c r="K95" s="1582">
        <v>3879</v>
      </c>
      <c r="L95" s="1776">
        <v>23887</v>
      </c>
      <c r="M95" s="1583" t="s">
        <v>719</v>
      </c>
      <c r="N95" s="1635" t="s">
        <v>735</v>
      </c>
      <c r="O95" s="1635"/>
      <c r="P95" s="1299">
        <f>'Dettaglio PN - Info per N.I.'!C262</f>
        <v>1009507</v>
      </c>
      <c r="Q95" s="1300">
        <v>16</v>
      </c>
      <c r="R95" s="1301">
        <f>'Dettaglio PN - Info per N.I.'!E262</f>
        <v>160170.31</v>
      </c>
      <c r="S95" s="1329" t="s">
        <v>606</v>
      </c>
      <c r="T95" s="1303">
        <v>2016</v>
      </c>
      <c r="U95" s="1330" t="s">
        <v>606</v>
      </c>
      <c r="V95" s="1299">
        <v>96000</v>
      </c>
      <c r="W95" s="1305">
        <v>154166</v>
      </c>
      <c r="X95" s="1305">
        <v>0</v>
      </c>
      <c r="Y95" s="1306">
        <v>0</v>
      </c>
      <c r="Z95" s="1585">
        <f>V95</f>
        <v>96000</v>
      </c>
      <c r="AA95" s="1305">
        <f t="shared" si="9"/>
        <v>0</v>
      </c>
      <c r="AB95" s="1306">
        <f t="shared" si="10"/>
        <v>0</v>
      </c>
      <c r="AC95" s="1586">
        <f>V95</f>
        <v>96000</v>
      </c>
      <c r="AD95" s="1305"/>
      <c r="AE95" s="1305"/>
      <c r="AF95" s="1305"/>
      <c r="AG95" s="1305"/>
      <c r="AH95" s="1305"/>
      <c r="AI95" s="1305"/>
      <c r="AJ95" s="1305"/>
      <c r="AK95" s="1305"/>
      <c r="AL95" s="1305"/>
      <c r="AM95" s="1588">
        <f>SUM(AC95:AL95)</f>
        <v>96000</v>
      </c>
      <c r="AN95" s="1589"/>
      <c r="AO95" s="1636"/>
      <c r="AP95" s="1377"/>
      <c r="AQ95" s="1377"/>
      <c r="AR95" s="1377">
        <f>AM95</f>
        <v>96000</v>
      </c>
      <c r="AS95" s="1174" t="e">
        <f>+#REF!*#REF!</f>
        <v>#REF!</v>
      </c>
      <c r="AT95" s="1179" t="s">
        <v>673</v>
      </c>
    </row>
    <row r="96" spans="2:46" ht="12.75">
      <c r="B96" s="1773"/>
      <c r="C96" s="1637"/>
      <c r="D96" s="1231" t="s">
        <v>486</v>
      </c>
      <c r="E96" s="1852"/>
      <c r="F96" s="1638"/>
      <c r="G96" s="1460"/>
      <c r="H96" s="1298"/>
      <c r="I96" s="1845"/>
      <c r="J96" s="1888"/>
      <c r="K96" s="1445"/>
      <c r="L96" s="1775"/>
      <c r="P96" s="1232"/>
      <c r="Q96" s="1233"/>
      <c r="R96" s="1211"/>
      <c r="S96" s="1212"/>
      <c r="T96" s="1220"/>
      <c r="V96" s="1232"/>
      <c r="W96" s="1236"/>
      <c r="X96" s="1236"/>
      <c r="Y96" s="1237"/>
      <c r="Z96" s="1441"/>
      <c r="AA96" s="1236"/>
      <c r="AB96" s="1237"/>
      <c r="AC96" s="1297"/>
      <c r="AD96" s="1269"/>
      <c r="AE96" s="1236"/>
      <c r="AF96" s="1236"/>
      <c r="AG96" s="1236"/>
      <c r="AH96" s="1236"/>
      <c r="AI96" s="1236"/>
      <c r="AJ96" s="1236"/>
      <c r="AK96" s="1236"/>
      <c r="AL96" s="1269"/>
      <c r="AM96" s="1236"/>
      <c r="AN96" s="1620"/>
      <c r="AO96" s="1639"/>
      <c r="AP96" s="1174"/>
      <c r="AQ96" s="1174"/>
      <c r="AR96" s="1174"/>
      <c r="AS96" s="1174" t="e">
        <f>+#REF!-SUM(#REF!)</f>
        <v>#REF!</v>
      </c>
      <c r="AT96" s="1179" t="s">
        <v>555</v>
      </c>
    </row>
    <row r="97" spans="2:70" s="1444" customFormat="1" ht="39.75" customHeight="1">
      <c r="B97" s="1771"/>
      <c r="C97" s="1617">
        <v>48</v>
      </c>
      <c r="D97" s="1578" t="s">
        <v>526</v>
      </c>
      <c r="E97" s="1846">
        <v>7283941</v>
      </c>
      <c r="F97" s="1579">
        <v>555961</v>
      </c>
      <c r="G97" s="1580">
        <f>I97/E97</f>
        <v>0.07632694992998983</v>
      </c>
      <c r="H97" s="1305">
        <v>1</v>
      </c>
      <c r="I97" s="1847">
        <f>F97*H97</f>
        <v>555961</v>
      </c>
      <c r="J97" s="1618" t="s">
        <v>606</v>
      </c>
      <c r="K97" s="1618" t="s">
        <v>606</v>
      </c>
      <c r="L97" s="1772" t="s">
        <v>606</v>
      </c>
      <c r="M97" s="1583" t="s">
        <v>719</v>
      </c>
      <c r="N97" s="1612" t="s">
        <v>726</v>
      </c>
      <c r="O97" s="1612"/>
      <c r="P97" s="1331" t="s">
        <v>265</v>
      </c>
      <c r="Q97" s="1315" t="s">
        <v>265</v>
      </c>
      <c r="R97" s="1332" t="s">
        <v>265</v>
      </c>
      <c r="S97" s="1331" t="s">
        <v>265</v>
      </c>
      <c r="T97" s="1303" t="s">
        <v>265</v>
      </c>
      <c r="U97" s="1332" t="s">
        <v>265</v>
      </c>
      <c r="V97" s="1299">
        <f>SUM(W97:Y97)</f>
        <v>4134952</v>
      </c>
      <c r="W97" s="1305">
        <v>1652693</v>
      </c>
      <c r="X97" s="1305">
        <f>36672+98280</f>
        <v>134952</v>
      </c>
      <c r="Y97" s="1306">
        <v>2347307</v>
      </c>
      <c r="Z97" s="1585">
        <f>V97</f>
        <v>4134952</v>
      </c>
      <c r="AA97" s="1305">
        <f t="shared" si="9"/>
        <v>134952</v>
      </c>
      <c r="AB97" s="1306">
        <f t="shared" si="10"/>
        <v>2347307</v>
      </c>
      <c r="AC97" s="1586">
        <f>V97+'Variazioni di valore IAS-IFRS'!P250</f>
        <v>1</v>
      </c>
      <c r="AD97" s="1305"/>
      <c r="AE97" s="1305"/>
      <c r="AF97" s="1305"/>
      <c r="AG97" s="1305"/>
      <c r="AH97" s="1305"/>
      <c r="AI97" s="1305"/>
      <c r="AJ97" s="1305"/>
      <c r="AK97" s="1305"/>
      <c r="AL97" s="1305"/>
      <c r="AM97" s="1588">
        <f>SUM(AC97:AL97)</f>
        <v>1</v>
      </c>
      <c r="AN97" s="1589"/>
      <c r="AO97" s="1590"/>
      <c r="AP97" s="1377"/>
      <c r="AQ97" s="1377"/>
      <c r="AR97" s="1377">
        <f>AM97</f>
        <v>1</v>
      </c>
      <c r="AS97" s="1497" t="e">
        <f>+#REF!-AS95</f>
        <v>#REF!</v>
      </c>
      <c r="AT97" s="1640"/>
      <c r="BR97" s="1179"/>
    </row>
    <row r="98" spans="2:70" s="1444" customFormat="1" ht="12.75">
      <c r="B98" s="1778"/>
      <c r="C98" s="1382"/>
      <c r="D98" s="1318" t="s">
        <v>492</v>
      </c>
      <c r="E98" s="1826"/>
      <c r="F98" s="1214">
        <f>E97/H97</f>
        <v>7283941</v>
      </c>
      <c r="G98" s="1236"/>
      <c r="H98" s="1236"/>
      <c r="I98" s="1830"/>
      <c r="J98" s="1870"/>
      <c r="K98" s="1461"/>
      <c r="L98" s="1744"/>
      <c r="M98" s="1463"/>
      <c r="N98" s="1463"/>
      <c r="O98" s="1463"/>
      <c r="P98" s="1232"/>
      <c r="Q98" s="1245"/>
      <c r="R98" s="1335"/>
      <c r="S98" s="1336"/>
      <c r="T98" s="1337"/>
      <c r="U98" s="1338"/>
      <c r="V98" s="1232"/>
      <c r="W98" s="1236"/>
      <c r="X98" s="1236"/>
      <c r="Y98" s="1237"/>
      <c r="Z98" s="1628"/>
      <c r="AA98" s="1236"/>
      <c r="AB98" s="1237"/>
      <c r="AC98" s="1232"/>
      <c r="AD98" s="1236"/>
      <c r="AE98" s="1236"/>
      <c r="AF98" s="1236"/>
      <c r="AG98" s="1236"/>
      <c r="AH98" s="1236"/>
      <c r="AI98" s="1236"/>
      <c r="AJ98" s="1236"/>
      <c r="AK98" s="1236"/>
      <c r="AL98" s="1236"/>
      <c r="AM98" s="1236"/>
      <c r="AN98" s="1237"/>
      <c r="AO98" s="1403"/>
      <c r="AP98" s="1174"/>
      <c r="AQ98" s="1174"/>
      <c r="AR98" s="1174"/>
      <c r="BR98" s="1179"/>
    </row>
    <row r="99" spans="2:44" s="1484" customFormat="1" ht="12.75">
      <c r="B99" s="1747" t="s">
        <v>764</v>
      </c>
      <c r="C99" s="1473"/>
      <c r="D99" s="1474"/>
      <c r="E99" s="1831"/>
      <c r="F99" s="1475"/>
      <c r="G99" s="1475"/>
      <c r="H99" s="1252"/>
      <c r="I99" s="1832">
        <f>SUM(I73:I97)</f>
        <v>13058696.200000001</v>
      </c>
      <c r="J99" s="1873"/>
      <c r="K99" s="1476"/>
      <c r="L99" s="1748"/>
      <c r="M99" s="1477"/>
      <c r="N99" s="1477"/>
      <c r="O99" s="1477"/>
      <c r="P99" s="1247"/>
      <c r="Q99" s="1326"/>
      <c r="R99" s="1290"/>
      <c r="S99" s="1291"/>
      <c r="T99" s="1250"/>
      <c r="U99" s="1292"/>
      <c r="V99" s="1493"/>
      <c r="W99" s="1479"/>
      <c r="X99" s="1479"/>
      <c r="Y99" s="1556"/>
      <c r="Z99" s="1557">
        <f aca="true" t="shared" si="11" ref="Z99:AM99">SUM(Z73:Z97)</f>
        <v>27256692.36</v>
      </c>
      <c r="AA99" s="1340">
        <f t="shared" si="11"/>
        <v>134952</v>
      </c>
      <c r="AB99" s="1341">
        <f t="shared" si="11"/>
        <v>7757751.81</v>
      </c>
      <c r="AC99" s="1247">
        <f t="shared" si="11"/>
        <v>9343488.120000001</v>
      </c>
      <c r="AD99" s="1252">
        <f t="shared" si="11"/>
        <v>1</v>
      </c>
      <c r="AE99" s="1252">
        <f t="shared" si="11"/>
        <v>0</v>
      </c>
      <c r="AF99" s="1252">
        <f t="shared" si="11"/>
        <v>0</v>
      </c>
      <c r="AG99" s="1252">
        <f t="shared" si="11"/>
        <v>0</v>
      </c>
      <c r="AH99" s="1252">
        <f t="shared" si="11"/>
        <v>0</v>
      </c>
      <c r="AI99" s="1252">
        <f t="shared" si="11"/>
        <v>-107499</v>
      </c>
      <c r="AJ99" s="1252">
        <f t="shared" si="11"/>
        <v>0</v>
      </c>
      <c r="AK99" s="1252">
        <f t="shared" si="11"/>
        <v>0</v>
      </c>
      <c r="AL99" s="1252">
        <f t="shared" si="11"/>
        <v>0</v>
      </c>
      <c r="AM99" s="1252">
        <f t="shared" si="11"/>
        <v>9235990.120000001</v>
      </c>
      <c r="AN99" s="1293"/>
      <c r="AO99" s="1483"/>
      <c r="AP99" s="1376">
        <f>SUM(AP73:AP97)</f>
        <v>39500</v>
      </c>
      <c r="AQ99" s="1376">
        <f>SUM(AQ73:AQ97)</f>
        <v>0</v>
      </c>
      <c r="AR99" s="1376">
        <f>SUM(AR73:AR97)</f>
        <v>9196490.120000001</v>
      </c>
    </row>
    <row r="100" spans="2:44" ht="12.75">
      <c r="B100" s="1743" t="s">
        <v>553</v>
      </c>
      <c r="D100" s="1444"/>
      <c r="E100" s="1829"/>
      <c r="F100" s="1298"/>
      <c r="G100" s="1298"/>
      <c r="H100" s="1298"/>
      <c r="I100" s="1845"/>
      <c r="J100" s="1880"/>
      <c r="K100" s="1440"/>
      <c r="L100" s="1760"/>
      <c r="P100" s="1297"/>
      <c r="Q100" s="1233"/>
      <c r="R100" s="1211"/>
      <c r="S100" s="1212"/>
      <c r="T100" s="1220"/>
      <c r="V100" s="1297"/>
      <c r="W100" s="1269"/>
      <c r="X100" s="1269"/>
      <c r="Y100" s="1270"/>
      <c r="Z100" s="1441"/>
      <c r="AA100" s="1214"/>
      <c r="AB100" s="1215"/>
      <c r="AC100" s="1576"/>
      <c r="AD100" s="1269"/>
      <c r="AE100" s="1269"/>
      <c r="AF100" s="1269"/>
      <c r="AG100" s="1269"/>
      <c r="AH100" s="1269"/>
      <c r="AI100" s="1641"/>
      <c r="AJ100" s="1641"/>
      <c r="AK100" s="1269"/>
      <c r="AL100" s="1269"/>
      <c r="AM100" s="1577"/>
      <c r="AN100" s="1237"/>
      <c r="AO100" s="1464"/>
      <c r="AP100" s="1174"/>
      <c r="AQ100" s="1174"/>
      <c r="AR100" s="1174"/>
    </row>
    <row r="101" spans="2:44" s="1484" customFormat="1" ht="12.75">
      <c r="B101" s="1747" t="s">
        <v>765</v>
      </c>
      <c r="C101" s="1473"/>
      <c r="D101" s="1474"/>
      <c r="E101" s="1831"/>
      <c r="F101" s="1475"/>
      <c r="G101" s="1475"/>
      <c r="H101" s="1252"/>
      <c r="I101" s="1832">
        <f>SUM(I100)</f>
        <v>0</v>
      </c>
      <c r="J101" s="1873"/>
      <c r="K101" s="1476"/>
      <c r="L101" s="1748"/>
      <c r="M101" s="1477"/>
      <c r="N101" s="1477"/>
      <c r="O101" s="1477"/>
      <c r="P101" s="1247"/>
      <c r="Q101" s="1326"/>
      <c r="R101" s="1290"/>
      <c r="S101" s="1291"/>
      <c r="T101" s="1250"/>
      <c r="U101" s="1292"/>
      <c r="V101" s="1478"/>
      <c r="W101" s="1479"/>
      <c r="X101" s="1479"/>
      <c r="Y101" s="1556"/>
      <c r="Z101" s="1557">
        <f>SUM(Z100)</f>
        <v>0</v>
      </c>
      <c r="AA101" s="1340">
        <f>SUM(AA100)</f>
        <v>0</v>
      </c>
      <c r="AB101" s="1341">
        <f>SUM(AB100)</f>
        <v>0</v>
      </c>
      <c r="AC101" s="1247">
        <f>SUM(AC100)</f>
        <v>0</v>
      </c>
      <c r="AD101" s="1252">
        <f aca="true" t="shared" si="12" ref="AD101:AM101">SUM(AD100)</f>
        <v>0</v>
      </c>
      <c r="AE101" s="1252">
        <f t="shared" si="12"/>
        <v>0</v>
      </c>
      <c r="AF101" s="1252">
        <f t="shared" si="12"/>
        <v>0</v>
      </c>
      <c r="AG101" s="1252">
        <f t="shared" si="12"/>
        <v>0</v>
      </c>
      <c r="AH101" s="1252">
        <f t="shared" si="12"/>
        <v>0</v>
      </c>
      <c r="AI101" s="1252">
        <f t="shared" si="12"/>
        <v>0</v>
      </c>
      <c r="AJ101" s="1252">
        <f t="shared" si="12"/>
        <v>0</v>
      </c>
      <c r="AK101" s="1252">
        <f t="shared" si="12"/>
        <v>0</v>
      </c>
      <c r="AL101" s="1252">
        <f t="shared" si="12"/>
        <v>0</v>
      </c>
      <c r="AM101" s="1252">
        <f t="shared" si="12"/>
        <v>0</v>
      </c>
      <c r="AN101" s="1293"/>
      <c r="AO101" s="1483"/>
      <c r="AP101" s="1376">
        <f>SUM(AP100)</f>
        <v>0</v>
      </c>
      <c r="AQ101" s="1376">
        <f>SUM(AQ100)</f>
        <v>0</v>
      </c>
      <c r="AR101" s="1376">
        <f>SUM(AR100)</f>
        <v>0</v>
      </c>
    </row>
    <row r="102" spans="2:70" s="1531" customFormat="1" ht="50.25" customHeight="1">
      <c r="B102" s="1780" t="s">
        <v>321</v>
      </c>
      <c r="C102" s="1642"/>
      <c r="D102" s="1643"/>
      <c r="E102" s="1853"/>
      <c r="F102" s="1645"/>
      <c r="G102" s="1645"/>
      <c r="H102" s="1342"/>
      <c r="I102" s="1854">
        <f>I62+I65+I71+I99+I101</f>
        <v>18111416.200000003</v>
      </c>
      <c r="J102" s="1891"/>
      <c r="K102" s="1646"/>
      <c r="L102" s="1781"/>
      <c r="M102" s="1647"/>
      <c r="N102" s="1647"/>
      <c r="O102" s="1647"/>
      <c r="P102" s="1644"/>
      <c r="Q102" s="1648"/>
      <c r="R102" s="1649"/>
      <c r="S102" s="1650"/>
      <c r="T102" s="1651"/>
      <c r="U102" s="1652"/>
      <c r="V102" s="1653"/>
      <c r="W102" s="1645"/>
      <c r="X102" s="1645"/>
      <c r="Y102" s="1654"/>
      <c r="Z102" s="1655">
        <f aca="true" t="shared" si="13" ref="Z102:AM102">Z62+Z65+Z71+Z99+Z101</f>
        <v>48899754.9</v>
      </c>
      <c r="AA102" s="1342">
        <f t="shared" si="13"/>
        <v>147237.2</v>
      </c>
      <c r="AB102" s="1343">
        <f t="shared" si="13"/>
        <v>24335809.150000002</v>
      </c>
      <c r="AC102" s="1644">
        <f t="shared" si="13"/>
        <v>29538040.98</v>
      </c>
      <c r="AD102" s="1342">
        <f t="shared" si="13"/>
        <v>1159253.75</v>
      </c>
      <c r="AE102" s="1342">
        <f t="shared" si="13"/>
        <v>0</v>
      </c>
      <c r="AF102" s="1342">
        <f t="shared" si="13"/>
        <v>0</v>
      </c>
      <c r="AG102" s="1342">
        <f t="shared" si="13"/>
        <v>0</v>
      </c>
      <c r="AH102" s="1342">
        <f t="shared" si="13"/>
        <v>0</v>
      </c>
      <c r="AI102" s="1342">
        <f t="shared" si="13"/>
        <v>-496499</v>
      </c>
      <c r="AJ102" s="1342">
        <f t="shared" si="13"/>
        <v>0</v>
      </c>
      <c r="AK102" s="1342">
        <f t="shared" si="13"/>
        <v>0</v>
      </c>
      <c r="AL102" s="1342">
        <f t="shared" si="13"/>
        <v>0</v>
      </c>
      <c r="AM102" s="1342">
        <f t="shared" si="13"/>
        <v>30200795.73</v>
      </c>
      <c r="AN102" s="1343"/>
      <c r="AO102" s="1656"/>
      <c r="AP102" s="1657">
        <f>AP62+AP65+AP71+AP99+AP101</f>
        <v>39500</v>
      </c>
      <c r="AQ102" s="1657">
        <f>AQ62+AQ65+AQ71+AQ99+AQ101</f>
        <v>0</v>
      </c>
      <c r="AR102" s="1657">
        <f>AR62+AR65+AR71+AR99+AR101</f>
        <v>10941475.16</v>
      </c>
      <c r="BR102" s="1658"/>
    </row>
    <row r="103" spans="2:44" ht="12.75" hidden="1">
      <c r="B103" s="1773"/>
      <c r="D103" s="1444"/>
      <c r="E103" s="1824"/>
      <c r="F103" s="1298"/>
      <c r="G103" s="1298"/>
      <c r="H103" s="1298"/>
      <c r="I103" s="1855"/>
      <c r="J103" s="1870"/>
      <c r="K103" s="1461"/>
      <c r="L103" s="1744"/>
      <c r="M103" s="1463"/>
      <c r="N103" s="1463"/>
      <c r="O103" s="1463"/>
      <c r="P103" s="1209"/>
      <c r="Q103" s="1344"/>
      <c r="R103" s="1345"/>
      <c r="S103" s="1346"/>
      <c r="T103" s="1337"/>
      <c r="U103" s="1338"/>
      <c r="V103" s="1297"/>
      <c r="W103" s="1269"/>
      <c r="X103" s="1269"/>
      <c r="Y103" s="1270"/>
      <c r="Z103" s="1659"/>
      <c r="AA103" s="1298"/>
      <c r="AB103" s="1215"/>
      <c r="AC103" s="1660"/>
      <c r="AD103" s="1661"/>
      <c r="AE103" s="1661"/>
      <c r="AF103" s="1661"/>
      <c r="AG103" s="1661"/>
      <c r="AH103" s="1661"/>
      <c r="AI103" s="1661"/>
      <c r="AJ103" s="1661"/>
      <c r="AK103" s="1661"/>
      <c r="AL103" s="1661"/>
      <c r="AM103" s="1662"/>
      <c r="AN103" s="1508"/>
      <c r="AO103" s="1464"/>
      <c r="AP103" s="1174"/>
      <c r="AQ103" s="1174"/>
      <c r="AR103" s="1174"/>
    </row>
    <row r="104" spans="2:70" s="1444" customFormat="1" ht="12.75" hidden="1">
      <c r="B104" s="1737" t="s">
        <v>275</v>
      </c>
      <c r="C104" s="1438"/>
      <c r="D104" s="1821"/>
      <c r="E104" s="1856"/>
      <c r="F104" s="1664"/>
      <c r="G104" s="1664"/>
      <c r="H104" s="1665"/>
      <c r="I104" s="1857"/>
      <c r="J104" s="1892"/>
      <c r="K104" s="1666"/>
      <c r="L104" s="1782"/>
      <c r="M104" s="1667"/>
      <c r="N104" s="1667"/>
      <c r="O104" s="1667"/>
      <c r="P104" s="1209"/>
      <c r="Q104" s="1347"/>
      <c r="R104" s="1348"/>
      <c r="S104" s="1349"/>
      <c r="T104" s="1350"/>
      <c r="U104" s="1351"/>
      <c r="V104" s="1297"/>
      <c r="W104" s="1269"/>
      <c r="X104" s="1269"/>
      <c r="Y104" s="1270"/>
      <c r="Z104" s="1668"/>
      <c r="AA104" s="1269"/>
      <c r="AB104" s="1215"/>
      <c r="AC104" s="1663"/>
      <c r="AD104" s="1665"/>
      <c r="AE104" s="1665"/>
      <c r="AF104" s="1665"/>
      <c r="AG104" s="1665"/>
      <c r="AH104" s="1665"/>
      <c r="AI104" s="1665"/>
      <c r="AJ104" s="1665"/>
      <c r="AK104" s="1665"/>
      <c r="AL104" s="1665"/>
      <c r="AM104" s="1665"/>
      <c r="AN104" s="1508"/>
      <c r="AO104" s="1669"/>
      <c r="AP104" s="1670"/>
      <c r="AQ104" s="1670"/>
      <c r="AR104" s="1670"/>
      <c r="BR104" s="1629"/>
    </row>
    <row r="105" spans="2:44" ht="12.75" hidden="1">
      <c r="B105" s="1743" t="s">
        <v>553</v>
      </c>
      <c r="D105" s="1444"/>
      <c r="E105" s="1829"/>
      <c r="F105" s="1298"/>
      <c r="G105" s="1298"/>
      <c r="H105" s="1298"/>
      <c r="I105" s="1855"/>
      <c r="J105" s="1870"/>
      <c r="K105" s="1461"/>
      <c r="L105" s="1744"/>
      <c r="M105" s="1463"/>
      <c r="N105" s="1463"/>
      <c r="O105" s="1463"/>
      <c r="P105" s="1297"/>
      <c r="Q105" s="1344"/>
      <c r="R105" s="1345"/>
      <c r="S105" s="1346"/>
      <c r="T105" s="1337"/>
      <c r="U105" s="1338"/>
      <c r="V105" s="1297"/>
      <c r="W105" s="1269"/>
      <c r="X105" s="1269"/>
      <c r="Y105" s="1270"/>
      <c r="Z105" s="1441"/>
      <c r="AA105" s="1214"/>
      <c r="AB105" s="1215"/>
      <c r="AC105" s="1576"/>
      <c r="AD105" s="1269"/>
      <c r="AE105" s="1269"/>
      <c r="AF105" s="1269"/>
      <c r="AG105" s="1269"/>
      <c r="AH105" s="1269"/>
      <c r="AI105" s="1641"/>
      <c r="AJ105" s="1641"/>
      <c r="AK105" s="1269"/>
      <c r="AL105" s="1269"/>
      <c r="AM105" s="1577"/>
      <c r="AN105" s="1270"/>
      <c r="AO105" s="1464"/>
      <c r="AP105" s="1174"/>
      <c r="AQ105" s="1174"/>
      <c r="AR105" s="1174"/>
    </row>
    <row r="106" spans="2:44" ht="12.75" hidden="1">
      <c r="B106" s="1771"/>
      <c r="C106" s="1404"/>
      <c r="D106" s="1578"/>
      <c r="E106" s="1846"/>
      <c r="F106" s="1598"/>
      <c r="G106" s="1580"/>
      <c r="H106" s="1305"/>
      <c r="I106" s="1847"/>
      <c r="J106" s="1883"/>
      <c r="K106" s="1599"/>
      <c r="L106" s="1766"/>
      <c r="M106" s="1583"/>
      <c r="N106" s="1583"/>
      <c r="O106" s="1583"/>
      <c r="P106" s="1331"/>
      <c r="Q106" s="1315"/>
      <c r="R106" s="1332"/>
      <c r="S106" s="1352"/>
      <c r="T106" s="1353"/>
      <c r="U106" s="1354"/>
      <c r="V106" s="1299">
        <f>SUM(W106:Y106)</f>
        <v>516456.89999999997</v>
      </c>
      <c r="W106" s="1305">
        <v>22133.8</v>
      </c>
      <c r="X106" s="1305">
        <v>0</v>
      </c>
      <c r="Y106" s="1306">
        <v>494323.1</v>
      </c>
      <c r="Z106" s="1585"/>
      <c r="AA106" s="1305"/>
      <c r="AB106" s="1306"/>
      <c r="AC106" s="1586"/>
      <c r="AD106" s="1305"/>
      <c r="AE106" s="1305"/>
      <c r="AF106" s="1305"/>
      <c r="AG106" s="1305"/>
      <c r="AH106" s="1305"/>
      <c r="AI106" s="1305"/>
      <c r="AJ106" s="1305"/>
      <c r="AK106" s="1305"/>
      <c r="AL106" s="1305"/>
      <c r="AM106" s="1588"/>
      <c r="AN106" s="1589"/>
      <c r="AO106" s="1590"/>
      <c r="AP106" s="1377"/>
      <c r="AQ106" s="1377"/>
      <c r="AR106" s="1377">
        <f>AM106</f>
        <v>0</v>
      </c>
    </row>
    <row r="107" spans="2:44" s="1484" customFormat="1" ht="12.75" hidden="1">
      <c r="B107" s="1747" t="s">
        <v>765</v>
      </c>
      <c r="C107" s="1473"/>
      <c r="D107" s="1474"/>
      <c r="E107" s="1831"/>
      <c r="F107" s="1475"/>
      <c r="G107" s="1475"/>
      <c r="H107" s="1252"/>
      <c r="I107" s="1832">
        <f>SUM(I106)</f>
        <v>0</v>
      </c>
      <c r="J107" s="1873"/>
      <c r="K107" s="1476"/>
      <c r="L107" s="1748"/>
      <c r="M107" s="1477"/>
      <c r="N107" s="1477"/>
      <c r="O107" s="1477"/>
      <c r="P107" s="1247"/>
      <c r="Q107" s="1326"/>
      <c r="R107" s="1290"/>
      <c r="S107" s="1291"/>
      <c r="T107" s="1250"/>
      <c r="U107" s="1292"/>
      <c r="V107" s="1478"/>
      <c r="W107" s="1479"/>
      <c r="X107" s="1479"/>
      <c r="Y107" s="1556"/>
      <c r="Z107" s="1557">
        <f aca="true" t="shared" si="14" ref="Z107:AM107">SUM(Z106)</f>
        <v>0</v>
      </c>
      <c r="AA107" s="1252">
        <f t="shared" si="14"/>
        <v>0</v>
      </c>
      <c r="AB107" s="1293">
        <f t="shared" si="14"/>
        <v>0</v>
      </c>
      <c r="AC107" s="1247">
        <f t="shared" si="14"/>
        <v>0</v>
      </c>
      <c r="AD107" s="1252">
        <f t="shared" si="14"/>
        <v>0</v>
      </c>
      <c r="AE107" s="1252">
        <f t="shared" si="14"/>
        <v>0</v>
      </c>
      <c r="AF107" s="1252">
        <f t="shared" si="14"/>
        <v>0</v>
      </c>
      <c r="AG107" s="1252">
        <f t="shared" si="14"/>
        <v>0</v>
      </c>
      <c r="AH107" s="1252">
        <f t="shared" si="14"/>
        <v>0</v>
      </c>
      <c r="AI107" s="1252">
        <f t="shared" si="14"/>
        <v>0</v>
      </c>
      <c r="AJ107" s="1252">
        <f t="shared" si="14"/>
        <v>0</v>
      </c>
      <c r="AK107" s="1252">
        <f t="shared" si="14"/>
        <v>0</v>
      </c>
      <c r="AL107" s="1252">
        <f t="shared" si="14"/>
        <v>0</v>
      </c>
      <c r="AM107" s="1252">
        <f t="shared" si="14"/>
        <v>0</v>
      </c>
      <c r="AN107" s="1293"/>
      <c r="AO107" s="1483"/>
      <c r="AP107" s="1376">
        <f aca="true" t="shared" si="15" ref="AP107:AR108">SUM(AP106)</f>
        <v>0</v>
      </c>
      <c r="AQ107" s="1376">
        <f t="shared" si="15"/>
        <v>0</v>
      </c>
      <c r="AR107" s="1376">
        <f t="shared" si="15"/>
        <v>0</v>
      </c>
    </row>
    <row r="108" spans="2:70" s="1531" customFormat="1" ht="49.5" customHeight="1" hidden="1">
      <c r="B108" s="1780" t="s">
        <v>322</v>
      </c>
      <c r="C108" s="1642"/>
      <c r="D108" s="1643"/>
      <c r="E108" s="1853"/>
      <c r="F108" s="1645"/>
      <c r="G108" s="1645"/>
      <c r="H108" s="1342"/>
      <c r="I108" s="1854">
        <f>SUM(I107)</f>
        <v>0</v>
      </c>
      <c r="J108" s="1891"/>
      <c r="K108" s="1646"/>
      <c r="L108" s="1781"/>
      <c r="M108" s="1647"/>
      <c r="N108" s="1647"/>
      <c r="O108" s="1647"/>
      <c r="P108" s="1644"/>
      <c r="Q108" s="1648"/>
      <c r="R108" s="1649"/>
      <c r="S108" s="1650"/>
      <c r="T108" s="1651"/>
      <c r="U108" s="1652"/>
      <c r="V108" s="1653"/>
      <c r="W108" s="1645"/>
      <c r="X108" s="1645"/>
      <c r="Y108" s="1654"/>
      <c r="Z108" s="1655">
        <f>SUM(Z107)</f>
        <v>0</v>
      </c>
      <c r="AA108" s="1342">
        <f>SUM(AA107)</f>
        <v>0</v>
      </c>
      <c r="AB108" s="1343">
        <f>SUM(AB107)</f>
        <v>0</v>
      </c>
      <c r="AC108" s="1644">
        <f aca="true" t="shared" si="16" ref="AC108:AM108">SUM(AC107)</f>
        <v>0</v>
      </c>
      <c r="AD108" s="1342">
        <f t="shared" si="16"/>
        <v>0</v>
      </c>
      <c r="AE108" s="1342">
        <f t="shared" si="16"/>
        <v>0</v>
      </c>
      <c r="AF108" s="1342">
        <f t="shared" si="16"/>
        <v>0</v>
      </c>
      <c r="AG108" s="1342">
        <f t="shared" si="16"/>
        <v>0</v>
      </c>
      <c r="AH108" s="1342">
        <f t="shared" si="16"/>
        <v>0</v>
      </c>
      <c r="AI108" s="1342">
        <f t="shared" si="16"/>
        <v>0</v>
      </c>
      <c r="AJ108" s="1342">
        <f t="shared" si="16"/>
        <v>0</v>
      </c>
      <c r="AK108" s="1342">
        <f t="shared" si="16"/>
        <v>0</v>
      </c>
      <c r="AL108" s="1342">
        <f t="shared" si="16"/>
        <v>0</v>
      </c>
      <c r="AM108" s="1342">
        <f t="shared" si="16"/>
        <v>0</v>
      </c>
      <c r="AN108" s="1343"/>
      <c r="AO108" s="1656"/>
      <c r="AP108" s="1657">
        <f t="shared" si="15"/>
        <v>0</v>
      </c>
      <c r="AQ108" s="1657">
        <f t="shared" si="15"/>
        <v>0</v>
      </c>
      <c r="AR108" s="1657">
        <f t="shared" si="15"/>
        <v>0</v>
      </c>
      <c r="BR108" s="1658"/>
    </row>
    <row r="109" spans="2:44" ht="12.75" hidden="1">
      <c r="B109" s="1773"/>
      <c r="D109" s="1444"/>
      <c r="E109" s="1824"/>
      <c r="F109" s="1298"/>
      <c r="G109" s="1298"/>
      <c r="H109" s="1298"/>
      <c r="I109" s="1845"/>
      <c r="J109" s="1880"/>
      <c r="K109" s="1440"/>
      <c r="L109" s="1760"/>
      <c r="P109" s="1355"/>
      <c r="Q109" s="1233"/>
      <c r="R109" s="1211"/>
      <c r="S109" s="1212"/>
      <c r="T109" s="1220"/>
      <c r="V109" s="1297"/>
      <c r="W109" s="1269"/>
      <c r="X109" s="1269"/>
      <c r="Y109" s="1270"/>
      <c r="Z109" s="1659"/>
      <c r="AA109" s="1298"/>
      <c r="AB109" s="1215"/>
      <c r="AC109" s="1660"/>
      <c r="AD109" s="1661"/>
      <c r="AE109" s="1661"/>
      <c r="AF109" s="1661"/>
      <c r="AG109" s="1661"/>
      <c r="AH109" s="1661"/>
      <c r="AI109" s="1661"/>
      <c r="AJ109" s="1661"/>
      <c r="AK109" s="1661"/>
      <c r="AL109" s="1661"/>
      <c r="AM109" s="1662"/>
      <c r="AN109" s="1508"/>
      <c r="AO109" s="1464"/>
      <c r="AP109" s="1174"/>
      <c r="AQ109" s="1174"/>
      <c r="AR109" s="1174"/>
    </row>
    <row r="110" spans="2:44" ht="12.75" hidden="1">
      <c r="B110" s="1737" t="s">
        <v>189</v>
      </c>
      <c r="C110" s="1438"/>
      <c r="D110" s="1821"/>
      <c r="E110" s="1858"/>
      <c r="F110" s="1214"/>
      <c r="G110" s="1214"/>
      <c r="H110" s="1214"/>
      <c r="I110" s="1825"/>
      <c r="J110" s="1868"/>
      <c r="K110" s="1440"/>
      <c r="L110" s="1740"/>
      <c r="P110" s="1356"/>
      <c r="Q110" s="1210"/>
      <c r="R110" s="1218"/>
      <c r="S110" s="1219"/>
      <c r="T110" s="1220"/>
      <c r="V110" s="1232"/>
      <c r="W110" s="1236"/>
      <c r="X110" s="1236"/>
      <c r="Y110" s="1237"/>
      <c r="Z110" s="1446"/>
      <c r="AA110" s="1214"/>
      <c r="AB110" s="1221"/>
      <c r="AC110" s="1575"/>
      <c r="AD110" s="1236"/>
      <c r="AE110" s="1236"/>
      <c r="AF110" s="1236"/>
      <c r="AG110" s="1236"/>
      <c r="AH110" s="1236"/>
      <c r="AI110" s="1236"/>
      <c r="AJ110" s="1236"/>
      <c r="AK110" s="1236"/>
      <c r="AL110" s="1236"/>
      <c r="AM110" s="1487"/>
      <c r="AN110" s="1237"/>
      <c r="AO110" s="1403"/>
      <c r="AP110" s="1174"/>
      <c r="AQ110" s="1174"/>
      <c r="AR110" s="1174"/>
    </row>
    <row r="111" spans="2:44" ht="12.75" hidden="1">
      <c r="B111" s="1783"/>
      <c r="C111" s="1671"/>
      <c r="E111" s="1858"/>
      <c r="F111" s="1214"/>
      <c r="G111" s="1214"/>
      <c r="H111" s="1214"/>
      <c r="I111" s="1825"/>
      <c r="J111" s="1868"/>
      <c r="K111" s="1440"/>
      <c r="L111" s="1740"/>
      <c r="P111" s="1356"/>
      <c r="Q111" s="1210"/>
      <c r="R111" s="1218"/>
      <c r="S111" s="1219"/>
      <c r="T111" s="1220"/>
      <c r="V111" s="1232"/>
      <c r="W111" s="1236"/>
      <c r="X111" s="1236"/>
      <c r="Y111" s="1237"/>
      <c r="Z111" s="1446"/>
      <c r="AA111" s="1214"/>
      <c r="AB111" s="1221"/>
      <c r="AC111" s="1575"/>
      <c r="AD111" s="1236"/>
      <c r="AE111" s="1236"/>
      <c r="AF111" s="1236"/>
      <c r="AG111" s="1236"/>
      <c r="AH111" s="1236"/>
      <c r="AI111" s="1236"/>
      <c r="AJ111" s="1236"/>
      <c r="AK111" s="1236"/>
      <c r="AL111" s="1236"/>
      <c r="AM111" s="1487"/>
      <c r="AN111" s="1237"/>
      <c r="AO111" s="1403"/>
      <c r="AP111" s="1174"/>
      <c r="AQ111" s="1174"/>
      <c r="AR111" s="1174"/>
    </row>
    <row r="112" spans="2:44" s="1444" customFormat="1" ht="39.75" customHeight="1" hidden="1">
      <c r="B112" s="1784"/>
      <c r="C112" s="1672">
        <v>105</v>
      </c>
      <c r="D112" s="1673" t="str">
        <f>D91</f>
        <v>Finest S.p.A.</v>
      </c>
      <c r="E112" s="1859">
        <f>E91</f>
        <v>137176770.15</v>
      </c>
      <c r="F112" s="1674">
        <f>(165000+6636-113616)</f>
        <v>58020</v>
      </c>
      <c r="G112" s="1675">
        <f>I112/E112</f>
        <v>0.021845776050297243</v>
      </c>
      <c r="H112" s="1361">
        <f>H91</f>
        <v>51.65</v>
      </c>
      <c r="I112" s="1860">
        <f>F112*H112</f>
        <v>2996733</v>
      </c>
      <c r="J112" s="1893" t="s">
        <v>756</v>
      </c>
      <c r="K112" s="1728" t="s">
        <v>757</v>
      </c>
      <c r="L112" s="1785" t="s">
        <v>758</v>
      </c>
      <c r="M112" s="1452" t="s">
        <v>719</v>
      </c>
      <c r="N112" s="1452"/>
      <c r="O112" s="1452"/>
      <c r="P112" s="1357">
        <f>'Dettaglio PN - Info per N.I.'!C273</f>
        <v>151153211</v>
      </c>
      <c r="Q112" s="1358">
        <v>42887</v>
      </c>
      <c r="R112" s="1359">
        <f>'Dettaglio PN - Info per N.I.'!E273</f>
        <v>3302059.2</v>
      </c>
      <c r="S112" s="1360"/>
      <c r="T112" s="1676"/>
      <c r="U112" s="1677"/>
      <c r="V112" s="1357"/>
      <c r="W112" s="1361"/>
      <c r="X112" s="1361"/>
      <c r="Y112" s="1362"/>
      <c r="Z112" s="1678">
        <f>ROUND((16500000000/1936.27-5868266.4),2)</f>
        <v>2653272.43</v>
      </c>
      <c r="AA112" s="1361">
        <v>0</v>
      </c>
      <c r="AB112" s="1362">
        <v>0</v>
      </c>
      <c r="AC112" s="1679">
        <v>2996733</v>
      </c>
      <c r="AD112" s="1361"/>
      <c r="AE112" s="1361"/>
      <c r="AF112" s="1361"/>
      <c r="AG112" s="1361"/>
      <c r="AH112" s="1361"/>
      <c r="AI112" s="1361"/>
      <c r="AJ112" s="1361"/>
      <c r="AK112" s="1361"/>
      <c r="AL112" s="1361"/>
      <c r="AM112" s="1680">
        <f>SUM(AC112:AL112)</f>
        <v>2996733</v>
      </c>
      <c r="AN112" s="1362"/>
      <c r="AO112" s="1681"/>
      <c r="AP112" s="1458"/>
      <c r="AQ112" s="1458"/>
      <c r="AR112" s="1458"/>
    </row>
    <row r="113" spans="2:44" ht="12.75" hidden="1">
      <c r="B113" s="1773"/>
      <c r="D113" s="1231" t="str">
        <f>D92</f>
        <v>acquisita in data 24/04/1994</v>
      </c>
      <c r="E113" s="1829"/>
      <c r="F113" s="1214">
        <f>E112/H112</f>
        <v>2655891</v>
      </c>
      <c r="G113" s="1460"/>
      <c r="H113" s="1269"/>
      <c r="I113" s="1830"/>
      <c r="J113" s="1870"/>
      <c r="K113" s="1461"/>
      <c r="L113" s="1744"/>
      <c r="M113" s="1463"/>
      <c r="N113" s="1463"/>
      <c r="O113" s="1463"/>
      <c r="P113" s="1232"/>
      <c r="Q113" s="1233"/>
      <c r="R113" s="1211"/>
      <c r="S113" s="1212"/>
      <c r="T113" s="1220"/>
      <c r="U113" s="1237"/>
      <c r="V113" s="1232"/>
      <c r="W113" s="1236"/>
      <c r="X113" s="1236"/>
      <c r="Y113" s="1237"/>
      <c r="Z113" s="1682"/>
      <c r="AA113" s="1269"/>
      <c r="AB113" s="1215"/>
      <c r="AC113" s="1232"/>
      <c r="AD113" s="1269"/>
      <c r="AE113" s="1269"/>
      <c r="AF113" s="1269"/>
      <c r="AG113" s="1269"/>
      <c r="AH113" s="1269"/>
      <c r="AI113" s="1236"/>
      <c r="AJ113" s="1236"/>
      <c r="AK113" s="1236"/>
      <c r="AL113" s="1269"/>
      <c r="AM113" s="1236"/>
      <c r="AN113" s="1237"/>
      <c r="AO113" s="1403"/>
      <c r="AP113" s="1174"/>
      <c r="AQ113" s="1174"/>
      <c r="AR113" s="1174"/>
    </row>
    <row r="114" spans="2:44" s="1531" customFormat="1" ht="49.5" customHeight="1" hidden="1">
      <c r="B114" s="1786" t="s">
        <v>190</v>
      </c>
      <c r="C114" s="1683"/>
      <c r="D114" s="1684"/>
      <c r="E114" s="1861"/>
      <c r="F114" s="1686"/>
      <c r="G114" s="1686"/>
      <c r="H114" s="1363"/>
      <c r="I114" s="1862">
        <f>SUM(I112:I113)</f>
        <v>2996733</v>
      </c>
      <c r="J114" s="1894"/>
      <c r="K114" s="1687"/>
      <c r="L114" s="1787"/>
      <c r="M114" s="1688"/>
      <c r="N114" s="1688"/>
      <c r="O114" s="1688"/>
      <c r="P114" s="1685"/>
      <c r="Q114" s="1689"/>
      <c r="R114" s="1364"/>
      <c r="S114" s="1690"/>
      <c r="T114" s="1691"/>
      <c r="U114" s="1692"/>
      <c r="V114" s="1693"/>
      <c r="W114" s="1686"/>
      <c r="X114" s="1686"/>
      <c r="Y114" s="1694"/>
      <c r="Z114" s="1695">
        <f aca="true" t="shared" si="17" ref="Z114:AM114">SUM(Z112:Z113)</f>
        <v>2653272.43</v>
      </c>
      <c r="AA114" s="1363">
        <f t="shared" si="17"/>
        <v>0</v>
      </c>
      <c r="AB114" s="1364">
        <f t="shared" si="17"/>
        <v>0</v>
      </c>
      <c r="AC114" s="1685">
        <f t="shared" si="17"/>
        <v>2996733</v>
      </c>
      <c r="AD114" s="1363">
        <f t="shared" si="17"/>
        <v>0</v>
      </c>
      <c r="AE114" s="1363">
        <f t="shared" si="17"/>
        <v>0</v>
      </c>
      <c r="AF114" s="1363">
        <f t="shared" si="17"/>
        <v>0</v>
      </c>
      <c r="AG114" s="1363">
        <f t="shared" si="17"/>
        <v>0</v>
      </c>
      <c r="AH114" s="1363">
        <f t="shared" si="17"/>
        <v>0</v>
      </c>
      <c r="AI114" s="1363">
        <f t="shared" si="17"/>
        <v>0</v>
      </c>
      <c r="AJ114" s="1363">
        <f t="shared" si="17"/>
        <v>0</v>
      </c>
      <c r="AK114" s="1363">
        <f t="shared" si="17"/>
        <v>0</v>
      </c>
      <c r="AL114" s="1363">
        <f t="shared" si="17"/>
        <v>0</v>
      </c>
      <c r="AM114" s="1363">
        <f t="shared" si="17"/>
        <v>2996733</v>
      </c>
      <c r="AN114" s="1364"/>
      <c r="AO114" s="1696"/>
      <c r="AP114" s="1692"/>
      <c r="AQ114" s="1692"/>
      <c r="AR114" s="1692"/>
    </row>
    <row r="115" spans="2:44" ht="13.5" thickBot="1">
      <c r="B115" s="1900"/>
      <c r="C115" s="1813"/>
      <c r="D115" s="1901"/>
      <c r="E115" s="1902"/>
      <c r="F115" s="1903"/>
      <c r="G115" s="1903"/>
      <c r="H115" s="1903"/>
      <c r="I115" s="1904"/>
      <c r="J115" s="1905"/>
      <c r="K115" s="1906"/>
      <c r="L115" s="1907"/>
      <c r="P115" s="1355"/>
      <c r="Q115" s="1233"/>
      <c r="R115" s="1211"/>
      <c r="S115" s="1212"/>
      <c r="T115" s="1220"/>
      <c r="V115" s="1297"/>
      <c r="W115" s="1269"/>
      <c r="X115" s="1269"/>
      <c r="Y115" s="1270"/>
      <c r="Z115" s="1659"/>
      <c r="AA115" s="1298"/>
      <c r="AB115" s="1215"/>
      <c r="AC115" s="1660"/>
      <c r="AD115" s="1661"/>
      <c r="AE115" s="1661"/>
      <c r="AF115" s="1661"/>
      <c r="AG115" s="1661"/>
      <c r="AH115" s="1661"/>
      <c r="AI115" s="1661"/>
      <c r="AJ115" s="1661"/>
      <c r="AK115" s="1661"/>
      <c r="AL115" s="1661"/>
      <c r="AM115" s="1662"/>
      <c r="AN115" s="1508"/>
      <c r="AO115" s="1464"/>
      <c r="AP115" s="1174"/>
      <c r="AQ115" s="1174"/>
      <c r="AR115" s="1174"/>
    </row>
    <row r="116" spans="2:44" ht="55.5" customHeight="1" hidden="1">
      <c r="B116" s="1915" t="s">
        <v>471</v>
      </c>
      <c r="C116" s="1916"/>
      <c r="D116" s="1916"/>
      <c r="E116" s="1858"/>
      <c r="F116" s="1214"/>
      <c r="G116" s="1214"/>
      <c r="H116" s="1214"/>
      <c r="I116" s="1825"/>
      <c r="J116" s="1868"/>
      <c r="K116" s="1440"/>
      <c r="L116" s="1740"/>
      <c r="P116" s="1356"/>
      <c r="Q116" s="1210"/>
      <c r="R116" s="1218"/>
      <c r="S116" s="1219"/>
      <c r="T116" s="1220"/>
      <c r="V116" s="1232"/>
      <c r="W116" s="1236"/>
      <c r="X116" s="1236"/>
      <c r="Y116" s="1237"/>
      <c r="Z116" s="1446"/>
      <c r="AA116" s="1214"/>
      <c r="AB116" s="1221"/>
      <c r="AC116" s="1575"/>
      <c r="AD116" s="1236"/>
      <c r="AE116" s="1236"/>
      <c r="AF116" s="1236"/>
      <c r="AG116" s="1236"/>
      <c r="AH116" s="1236"/>
      <c r="AI116" s="1236"/>
      <c r="AJ116" s="1236"/>
      <c r="AK116" s="1236"/>
      <c r="AL116" s="1236"/>
      <c r="AM116" s="1487"/>
      <c r="AN116" s="1237"/>
      <c r="AO116" s="1403"/>
      <c r="AP116" s="1174"/>
      <c r="AQ116" s="1174"/>
      <c r="AR116" s="1174"/>
    </row>
    <row r="117" spans="2:44" ht="12.75" hidden="1">
      <c r="B117" s="1788"/>
      <c r="C117" s="1671"/>
      <c r="E117" s="1824"/>
      <c r="F117" s="1214"/>
      <c r="G117" s="1214"/>
      <c r="H117" s="1214"/>
      <c r="I117" s="1845"/>
      <c r="J117" s="1880"/>
      <c r="K117" s="1440"/>
      <c r="L117" s="1760"/>
      <c r="P117" s="1356"/>
      <c r="Q117" s="1233"/>
      <c r="R117" s="1211"/>
      <c r="S117" s="1212"/>
      <c r="T117" s="1220"/>
      <c r="V117" s="1297"/>
      <c r="W117" s="1269"/>
      <c r="X117" s="1269"/>
      <c r="Y117" s="1270"/>
      <c r="Z117" s="1441"/>
      <c r="AA117" s="1214"/>
      <c r="AB117" s="1215"/>
      <c r="AC117" s="1576"/>
      <c r="AD117" s="1269"/>
      <c r="AE117" s="1269"/>
      <c r="AF117" s="1269"/>
      <c r="AG117" s="1269"/>
      <c r="AH117" s="1269"/>
      <c r="AI117" s="1236"/>
      <c r="AJ117" s="1236"/>
      <c r="AK117" s="1236"/>
      <c r="AL117" s="1269"/>
      <c r="AM117" s="1577"/>
      <c r="AN117" s="1237"/>
      <c r="AO117" s="1403"/>
      <c r="AP117" s="1174"/>
      <c r="AQ117" s="1174"/>
      <c r="AR117" s="1174"/>
    </row>
    <row r="118" spans="2:44" s="1444" customFormat="1" ht="39.75" customHeight="1" hidden="1">
      <c r="B118" s="1789"/>
      <c r="C118" s="1697">
        <v>64</v>
      </c>
      <c r="D118" s="1698" t="s">
        <v>527</v>
      </c>
      <c r="E118" s="1863"/>
      <c r="F118" s="1699">
        <v>8000</v>
      </c>
      <c r="G118" s="1700" t="s">
        <v>277</v>
      </c>
      <c r="H118" s="1371"/>
      <c r="I118" s="1864">
        <v>200000</v>
      </c>
      <c r="J118" s="1895">
        <v>-232390</v>
      </c>
      <c r="K118" s="1729">
        <v>-534836</v>
      </c>
      <c r="L118" s="1790">
        <v>-730009</v>
      </c>
      <c r="M118" s="1701" t="s">
        <v>724</v>
      </c>
      <c r="N118" s="1701" t="s">
        <v>736</v>
      </c>
      <c r="O118" s="1701"/>
      <c r="P118" s="1365"/>
      <c r="Q118" s="1366"/>
      <c r="R118" s="1367"/>
      <c r="S118" s="1368"/>
      <c r="T118" s="1369"/>
      <c r="U118" s="1370"/>
      <c r="V118" s="1365"/>
      <c r="W118" s="1371"/>
      <c r="X118" s="1371"/>
      <c r="Y118" s="1372"/>
      <c r="Z118" s="1702">
        <v>200000</v>
      </c>
      <c r="AA118" s="1371">
        <v>0</v>
      </c>
      <c r="AB118" s="1372">
        <v>0</v>
      </c>
      <c r="AC118" s="1703">
        <v>200000</v>
      </c>
      <c r="AD118" s="1371"/>
      <c r="AE118" s="1371"/>
      <c r="AF118" s="1371"/>
      <c r="AG118" s="1371"/>
      <c r="AH118" s="1371"/>
      <c r="AI118" s="1371"/>
      <c r="AJ118" s="1371"/>
      <c r="AK118" s="1371"/>
      <c r="AL118" s="1371"/>
      <c r="AM118" s="1704">
        <f>SUM(AC118:AL118)</f>
        <v>200000</v>
      </c>
      <c r="AN118" s="1372"/>
      <c r="AO118" s="1705"/>
      <c r="AP118" s="1706"/>
      <c r="AQ118" s="1706"/>
      <c r="AR118" s="1706"/>
    </row>
    <row r="119" spans="2:44" s="1444" customFormat="1" ht="12.75" hidden="1">
      <c r="B119" s="1778"/>
      <c r="C119" s="1382"/>
      <c r="D119" s="1373" t="s">
        <v>493</v>
      </c>
      <c r="E119" s="1826"/>
      <c r="F119" s="1707"/>
      <c r="G119" s="1708"/>
      <c r="H119" s="1236"/>
      <c r="I119" s="1830"/>
      <c r="J119" s="1870"/>
      <c r="K119" s="1461"/>
      <c r="L119" s="1744"/>
      <c r="M119" s="1463"/>
      <c r="N119" s="1463"/>
      <c r="O119" s="1463"/>
      <c r="P119" s="1232"/>
      <c r="Q119" s="1210"/>
      <c r="R119" s="1335"/>
      <c r="S119" s="1336"/>
      <c r="T119" s="1337"/>
      <c r="U119" s="1338"/>
      <c r="V119" s="1232"/>
      <c r="W119" s="1236"/>
      <c r="X119" s="1236"/>
      <c r="Y119" s="1237"/>
      <c r="Z119" s="1628"/>
      <c r="AA119" s="1236"/>
      <c r="AB119" s="1237"/>
      <c r="AC119" s="1217"/>
      <c r="AD119" s="1236"/>
      <c r="AE119" s="1236"/>
      <c r="AF119" s="1236"/>
      <c r="AG119" s="1236"/>
      <c r="AH119" s="1236"/>
      <c r="AI119" s="1236"/>
      <c r="AJ119" s="1236"/>
      <c r="AK119" s="1236"/>
      <c r="AL119" s="1236"/>
      <c r="AM119" s="1236"/>
      <c r="AN119" s="1237"/>
      <c r="AO119" s="1403"/>
      <c r="AP119" s="1629"/>
      <c r="AQ119" s="1629"/>
      <c r="AR119" s="1629"/>
    </row>
    <row r="120" spans="2:44" s="1444" customFormat="1" ht="39.75" customHeight="1" hidden="1">
      <c r="B120" s="1789"/>
      <c r="C120" s="1697">
        <v>70</v>
      </c>
      <c r="D120" s="1698" t="s">
        <v>386</v>
      </c>
      <c r="E120" s="1863"/>
      <c r="F120" s="1699">
        <f>200000/500</f>
        <v>400</v>
      </c>
      <c r="G120" s="1700" t="s">
        <v>277</v>
      </c>
      <c r="H120" s="1371"/>
      <c r="I120" s="1864">
        <v>200000</v>
      </c>
      <c r="J120" s="1895">
        <v>31237</v>
      </c>
      <c r="K120" s="1729">
        <v>13389</v>
      </c>
      <c r="L120" s="1790">
        <v>-478</v>
      </c>
      <c r="M120" s="1701" t="s">
        <v>724</v>
      </c>
      <c r="N120" s="1701" t="s">
        <v>737</v>
      </c>
      <c r="O120" s="1701"/>
      <c r="P120" s="1365"/>
      <c r="Q120" s="1366"/>
      <c r="R120" s="1367"/>
      <c r="S120" s="1368"/>
      <c r="T120" s="1369"/>
      <c r="U120" s="1370"/>
      <c r="V120" s="1365"/>
      <c r="W120" s="1371"/>
      <c r="X120" s="1371"/>
      <c r="Y120" s="1372"/>
      <c r="Z120" s="1702">
        <v>200000</v>
      </c>
      <c r="AA120" s="1371">
        <v>0</v>
      </c>
      <c r="AB120" s="1372">
        <v>0</v>
      </c>
      <c r="AC120" s="1703">
        <v>200000</v>
      </c>
      <c r="AD120" s="1371"/>
      <c r="AE120" s="1371"/>
      <c r="AF120" s="1371"/>
      <c r="AG120" s="1371"/>
      <c r="AH120" s="1371"/>
      <c r="AI120" s="1371"/>
      <c r="AJ120" s="1371"/>
      <c r="AK120" s="1371"/>
      <c r="AL120" s="1371"/>
      <c r="AM120" s="1704">
        <f>SUM(AC120:AL120)</f>
        <v>200000</v>
      </c>
      <c r="AN120" s="1372"/>
      <c r="AO120" s="1705"/>
      <c r="AP120" s="1706"/>
      <c r="AQ120" s="1706"/>
      <c r="AR120" s="1706"/>
    </row>
    <row r="121" spans="2:44" s="1444" customFormat="1" ht="12.75" hidden="1">
      <c r="B121" s="1778"/>
      <c r="C121" s="1382"/>
      <c r="D121" s="1373" t="s">
        <v>494</v>
      </c>
      <c r="E121" s="1826"/>
      <c r="F121" s="1707"/>
      <c r="G121" s="1708"/>
      <c r="H121" s="1236"/>
      <c r="I121" s="1830"/>
      <c r="J121" s="1870"/>
      <c r="K121" s="1461"/>
      <c r="L121" s="1744"/>
      <c r="M121" s="1709"/>
      <c r="N121" s="1463"/>
      <c r="O121" s="1463"/>
      <c r="P121" s="1232"/>
      <c r="Q121" s="1210"/>
      <c r="R121" s="1335"/>
      <c r="S121" s="1336"/>
      <c r="T121" s="1337"/>
      <c r="U121" s="1338"/>
      <c r="V121" s="1232"/>
      <c r="W121" s="1236"/>
      <c r="X121" s="1236"/>
      <c r="Y121" s="1237"/>
      <c r="Z121" s="1628"/>
      <c r="AA121" s="1236"/>
      <c r="AB121" s="1237"/>
      <c r="AC121" s="1217"/>
      <c r="AD121" s="1236"/>
      <c r="AE121" s="1236"/>
      <c r="AF121" s="1236"/>
      <c r="AG121" s="1236"/>
      <c r="AH121" s="1236"/>
      <c r="AI121" s="1236"/>
      <c r="AJ121" s="1236"/>
      <c r="AK121" s="1236"/>
      <c r="AL121" s="1236"/>
      <c r="AM121" s="1236"/>
      <c r="AN121" s="1237"/>
      <c r="AO121" s="1403"/>
      <c r="AP121" s="1629"/>
      <c r="AQ121" s="1629"/>
      <c r="AR121" s="1629"/>
    </row>
    <row r="122" spans="2:44" s="1444" customFormat="1" ht="39.75" customHeight="1" hidden="1">
      <c r="B122" s="1789"/>
      <c r="C122" s="1697">
        <v>72</v>
      </c>
      <c r="D122" s="1698" t="s">
        <v>387</v>
      </c>
      <c r="E122" s="1863"/>
      <c r="F122" s="1699">
        <v>300</v>
      </c>
      <c r="G122" s="1700" t="s">
        <v>277</v>
      </c>
      <c r="H122" s="1371"/>
      <c r="I122" s="1864">
        <v>150000</v>
      </c>
      <c r="J122" s="1895">
        <v>134951</v>
      </c>
      <c r="K122" s="1729">
        <v>-43585</v>
      </c>
      <c r="L122" s="1790">
        <v>6488</v>
      </c>
      <c r="M122" s="1701" t="s">
        <v>724</v>
      </c>
      <c r="N122" s="1710" t="s">
        <v>723</v>
      </c>
      <c r="O122" s="1710"/>
      <c r="P122" s="1365"/>
      <c r="Q122" s="1366"/>
      <c r="R122" s="1367"/>
      <c r="S122" s="1368"/>
      <c r="T122" s="1369"/>
      <c r="U122" s="1370"/>
      <c r="V122" s="1365"/>
      <c r="W122" s="1371"/>
      <c r="X122" s="1371"/>
      <c r="Y122" s="1372"/>
      <c r="Z122" s="1702">
        <v>150000</v>
      </c>
      <c r="AA122" s="1371">
        <v>0</v>
      </c>
      <c r="AB122" s="1372"/>
      <c r="AC122" s="1703">
        <v>150000</v>
      </c>
      <c r="AD122" s="1371"/>
      <c r="AE122" s="1371"/>
      <c r="AF122" s="1371"/>
      <c r="AG122" s="1371"/>
      <c r="AH122" s="1371"/>
      <c r="AI122" s="1371"/>
      <c r="AJ122" s="1371"/>
      <c r="AK122" s="1371"/>
      <c r="AL122" s="1371"/>
      <c r="AM122" s="1704">
        <f>SUM(AC122:AL122)</f>
        <v>150000</v>
      </c>
      <c r="AN122" s="1372"/>
      <c r="AO122" s="1705"/>
      <c r="AP122" s="1706"/>
      <c r="AQ122" s="1706"/>
      <c r="AR122" s="1706"/>
    </row>
    <row r="123" spans="2:44" s="1444" customFormat="1" ht="12.75" hidden="1">
      <c r="B123" s="1778"/>
      <c r="C123" s="1382"/>
      <c r="D123" s="1373" t="s">
        <v>495</v>
      </c>
      <c r="E123" s="1826"/>
      <c r="F123" s="1707"/>
      <c r="G123" s="1254"/>
      <c r="H123" s="1236"/>
      <c r="I123" s="1830"/>
      <c r="J123" s="1870"/>
      <c r="K123" s="1461"/>
      <c r="L123" s="1744"/>
      <c r="M123" s="1463"/>
      <c r="N123" s="1463"/>
      <c r="O123" s="1463"/>
      <c r="P123" s="1232"/>
      <c r="Q123" s="1210"/>
      <c r="R123" s="1335"/>
      <c r="S123" s="1336"/>
      <c r="T123" s="1337"/>
      <c r="U123" s="1338"/>
      <c r="V123" s="1232"/>
      <c r="W123" s="1236"/>
      <c r="X123" s="1236"/>
      <c r="Y123" s="1237"/>
      <c r="Z123" s="1628"/>
      <c r="AA123" s="1236"/>
      <c r="AB123" s="1237"/>
      <c r="AC123" s="1217"/>
      <c r="AD123" s="1236"/>
      <c r="AE123" s="1236"/>
      <c r="AF123" s="1236"/>
      <c r="AG123" s="1236"/>
      <c r="AH123" s="1236"/>
      <c r="AI123" s="1236"/>
      <c r="AJ123" s="1236"/>
      <c r="AK123" s="1236"/>
      <c r="AL123" s="1236"/>
      <c r="AM123" s="1236"/>
      <c r="AN123" s="1237"/>
      <c r="AO123" s="1403"/>
      <c r="AP123" s="1629"/>
      <c r="AQ123" s="1629"/>
      <c r="AR123" s="1629"/>
    </row>
    <row r="124" spans="2:44" s="1531" customFormat="1" ht="50.25" customHeight="1" hidden="1" thickBot="1">
      <c r="B124" s="1791" t="s">
        <v>554</v>
      </c>
      <c r="C124" s="1792"/>
      <c r="D124" s="1793"/>
      <c r="E124" s="1865"/>
      <c r="F124" s="1794"/>
      <c r="G124" s="1795"/>
      <c r="H124" s="1796"/>
      <c r="I124" s="1866">
        <f>SUM(I118:I122)</f>
        <v>550000</v>
      </c>
      <c r="J124" s="1896"/>
      <c r="K124" s="1797"/>
      <c r="L124" s="1798"/>
      <c r="M124" s="1713"/>
      <c r="N124" s="1713"/>
      <c r="O124" s="1713"/>
      <c r="P124" s="1711"/>
      <c r="Q124" s="1714"/>
      <c r="R124" s="1375"/>
      <c r="S124" s="1715"/>
      <c r="T124" s="1716"/>
      <c r="U124" s="1717"/>
      <c r="V124" s="1718"/>
      <c r="W124" s="1712"/>
      <c r="X124" s="1712"/>
      <c r="Y124" s="1719"/>
      <c r="Z124" s="1720">
        <f aca="true" t="shared" si="18" ref="Z124:AM124">SUM(Z118:Z122)</f>
        <v>550000</v>
      </c>
      <c r="AA124" s="1374">
        <f t="shared" si="18"/>
        <v>0</v>
      </c>
      <c r="AB124" s="1375">
        <f t="shared" si="18"/>
        <v>0</v>
      </c>
      <c r="AC124" s="1711">
        <f t="shared" si="18"/>
        <v>550000</v>
      </c>
      <c r="AD124" s="1374">
        <f t="shared" si="18"/>
        <v>0</v>
      </c>
      <c r="AE124" s="1374">
        <f t="shared" si="18"/>
        <v>0</v>
      </c>
      <c r="AF124" s="1374">
        <f t="shared" si="18"/>
        <v>0</v>
      </c>
      <c r="AG124" s="1374">
        <f t="shared" si="18"/>
        <v>0</v>
      </c>
      <c r="AH124" s="1374">
        <f t="shared" si="18"/>
        <v>0</v>
      </c>
      <c r="AI124" s="1374">
        <f t="shared" si="18"/>
        <v>0</v>
      </c>
      <c r="AJ124" s="1374">
        <f t="shared" si="18"/>
        <v>0</v>
      </c>
      <c r="AK124" s="1374">
        <f t="shared" si="18"/>
        <v>0</v>
      </c>
      <c r="AL124" s="1374">
        <f t="shared" si="18"/>
        <v>0</v>
      </c>
      <c r="AM124" s="1374">
        <f t="shared" si="18"/>
        <v>550000</v>
      </c>
      <c r="AN124" s="1375"/>
      <c r="AO124" s="1721"/>
      <c r="AP124" s="1722"/>
      <c r="AQ124" s="1722"/>
      <c r="AR124" s="1722"/>
    </row>
    <row r="125" spans="2:44" ht="12.75">
      <c r="B125" s="1296"/>
      <c r="C125" s="1671"/>
      <c r="D125" s="1296"/>
      <c r="E125" s="1296"/>
      <c r="F125" s="1296"/>
      <c r="G125" s="1296"/>
      <c r="H125" s="1296"/>
      <c r="I125" s="1296"/>
      <c r="J125" s="1671"/>
      <c r="K125" s="1671"/>
      <c r="L125" s="1671"/>
      <c r="M125" s="1671"/>
      <c r="N125" s="1671"/>
      <c r="O125" s="1671"/>
      <c r="V125" s="1723"/>
      <c r="W125" s="1723"/>
      <c r="X125" s="1723"/>
      <c r="Y125" s="1723"/>
      <c r="Z125" s="1378"/>
      <c r="AA125" s="1378"/>
      <c r="AB125" s="1296"/>
      <c r="AC125" s="1401"/>
      <c r="AD125" s="1378"/>
      <c r="AE125" s="1378"/>
      <c r="AF125" s="1296"/>
      <c r="AG125" s="1296"/>
      <c r="AH125" s="1296"/>
      <c r="AI125" s="1296"/>
      <c r="AJ125" s="1726"/>
      <c r="AK125" s="1726"/>
      <c r="AL125" s="1726"/>
      <c r="AM125" s="1725"/>
      <c r="AN125" s="1338"/>
      <c r="AO125" s="1378"/>
      <c r="AP125" s="1296"/>
      <c r="AQ125" s="1724"/>
      <c r="AR125" s="1296"/>
    </row>
    <row r="126" spans="2:44" ht="12.75">
      <c r="B126" s="1296"/>
      <c r="C126" s="1671"/>
      <c r="D126" s="1296"/>
      <c r="E126" s="1296"/>
      <c r="F126" s="1296"/>
      <c r="G126" s="1296"/>
      <c r="H126" s="1296"/>
      <c r="I126" s="1296"/>
      <c r="J126" s="1671"/>
      <c r="K126" s="1671"/>
      <c r="L126" s="1671"/>
      <c r="M126" s="1671"/>
      <c r="N126" s="1671"/>
      <c r="O126" s="1671"/>
      <c r="V126" s="1723"/>
      <c r="W126" s="1723"/>
      <c r="X126" s="1723"/>
      <c r="Y126" s="1723"/>
      <c r="Z126" s="1378"/>
      <c r="AA126" s="1378"/>
      <c r="AB126" s="1296"/>
      <c r="AC126" s="1401"/>
      <c r="AD126" s="1378"/>
      <c r="AE126" s="1378"/>
      <c r="AF126" s="1296"/>
      <c r="AG126" s="1296"/>
      <c r="AH126" s="1296"/>
      <c r="AI126" s="1296"/>
      <c r="AJ126" s="1726"/>
      <c r="AK126" s="1726"/>
      <c r="AL126" s="1338" t="s">
        <v>393</v>
      </c>
      <c r="AM126" s="1174">
        <f>AM38+AM99</f>
        <v>10589913.620000001</v>
      </c>
      <c r="AN126" s="1338"/>
      <c r="AO126" s="1378"/>
      <c r="AP126" s="1296"/>
      <c r="AQ126" s="1296"/>
      <c r="AR126" s="1724"/>
    </row>
    <row r="127" ht="12.75">
      <c r="C127" s="1179"/>
    </row>
    <row r="128" spans="3:44" ht="12.75">
      <c r="C128" s="1179"/>
      <c r="AP128" s="1174"/>
      <c r="AQ128" s="1174"/>
      <c r="AR128" s="1174"/>
    </row>
    <row r="130" spans="35:44" ht="12.75">
      <c r="AI130" s="1179">
        <f>+AI32+AI38+AI71+AI48+AI55</f>
        <v>-1140748.52</v>
      </c>
      <c r="AO130" s="1178"/>
      <c r="AP130" s="1178"/>
      <c r="AQ130" s="1178"/>
      <c r="AR130" s="1338"/>
    </row>
    <row r="131" spans="41:44" ht="12.75">
      <c r="AO131" s="1178"/>
      <c r="AP131" s="1178"/>
      <c r="AQ131" s="1178"/>
      <c r="AR131" s="1338"/>
    </row>
    <row r="132" spans="32:44" ht="12.75">
      <c r="AF132" s="1338"/>
      <c r="AG132" s="1338"/>
      <c r="AH132" s="1338"/>
      <c r="AI132" s="1338"/>
      <c r="AP132" s="1174"/>
      <c r="AR132" s="1174"/>
    </row>
    <row r="133" spans="32:42" ht="12.75">
      <c r="AF133" s="1338"/>
      <c r="AG133" s="1338"/>
      <c r="AH133" s="1338"/>
      <c r="AI133" s="1338"/>
      <c r="AP133" s="1727"/>
    </row>
    <row r="134" spans="32:35" ht="12.75">
      <c r="AF134" s="1444"/>
      <c r="AI134" s="1444"/>
    </row>
    <row r="137" ht="12.75">
      <c r="AI137" s="1444"/>
    </row>
  </sheetData>
  <sheetProtection/>
  <mergeCells count="6">
    <mergeCell ref="E5:I5"/>
    <mergeCell ref="AK5:AL5"/>
    <mergeCell ref="B116:D116"/>
    <mergeCell ref="I6:I7"/>
    <mergeCell ref="O5:O7"/>
    <mergeCell ref="J5:L6"/>
  </mergeCells>
  <printOptions headings="1" horizontalCentered="1"/>
  <pageMargins left="0.25" right="0.25" top="0.75" bottom="0.75" header="0.3" footer="0.3"/>
  <pageSetup fitToHeight="1" fitToWidth="1" horizontalDpi="600" verticalDpi="600" orientation="portrait" paperSize="8" scale="46" r:id="rId1"/>
  <rowBreaks count="1" manualBreakCount="1">
    <brk id="103" min="1" max="11" man="1"/>
  </rowBreaks>
  <ignoredErrors>
    <ignoredError sqref="AM40 AM81 AM85 AM89 AM112 AM118 AM120 AM83" formulaRange="1"/>
    <ignoredError sqref="AJ7 F28 AC1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4"/>
  <sheetViews>
    <sheetView zoomScale="90" zoomScaleNormal="90" workbookViewId="0" topLeftCell="A1">
      <selection activeCell="D45" sqref="D45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17.7109375" style="10" customWidth="1"/>
    <col min="4" max="4" width="16.140625" style="10" customWidth="1"/>
    <col min="5" max="5" width="17.00390625" style="10" customWidth="1"/>
    <col min="6" max="6" width="17.57421875" style="10" customWidth="1"/>
    <col min="7" max="16384" width="9.140625" style="10" customWidth="1"/>
  </cols>
  <sheetData>
    <row r="1" spans="1:5" s="39" customFormat="1" ht="16.5" customHeight="1">
      <c r="A1" s="395" t="s">
        <v>300</v>
      </c>
      <c r="B1" s="148"/>
      <c r="C1" s="148"/>
      <c r="D1" s="148"/>
      <c r="E1" s="148"/>
    </row>
    <row r="2" spans="1:6" ht="56.25" customHeight="1">
      <c r="A2" s="1966"/>
      <c r="B2" s="1967"/>
      <c r="C2" s="1968"/>
      <c r="D2" s="37" t="s">
        <v>297</v>
      </c>
      <c r="E2" s="37" t="s">
        <v>298</v>
      </c>
      <c r="F2" s="37" t="s">
        <v>294</v>
      </c>
    </row>
    <row r="3" spans="1:6" ht="53.25" customHeight="1">
      <c r="A3" s="979"/>
      <c r="B3" s="21"/>
      <c r="C3" s="21"/>
      <c r="D3" s="23"/>
      <c r="E3" s="24"/>
      <c r="F3" s="1074"/>
    </row>
    <row r="4" spans="1:6" ht="15" customHeight="1">
      <c r="A4" s="95" t="s">
        <v>0</v>
      </c>
      <c r="B4" s="30" t="s">
        <v>16</v>
      </c>
      <c r="C4" s="7"/>
      <c r="D4" s="17">
        <v>0</v>
      </c>
      <c r="E4" s="17">
        <v>0</v>
      </c>
      <c r="F4" s="17">
        <v>0</v>
      </c>
    </row>
    <row r="5" spans="1:6" ht="15" customHeight="1">
      <c r="A5" s="982"/>
      <c r="B5" s="26"/>
      <c r="C5" s="26"/>
      <c r="D5" s="28"/>
      <c r="E5" s="28"/>
      <c r="F5" s="28"/>
    </row>
    <row r="6" spans="1:6" ht="15" customHeight="1">
      <c r="A6" s="979"/>
      <c r="B6" s="21"/>
      <c r="C6" s="22"/>
      <c r="D6" s="42"/>
      <c r="E6" s="42"/>
      <c r="F6" s="42"/>
    </row>
    <row r="7" spans="1:6" ht="15" customHeight="1">
      <c r="A7" s="95" t="s">
        <v>2</v>
      </c>
      <c r="B7" s="30" t="s">
        <v>18</v>
      </c>
      <c r="C7" s="6"/>
      <c r="D7" s="58">
        <f>SUM(D8:D22)</f>
        <v>0</v>
      </c>
      <c r="E7" s="17">
        <f>SUM(E8:E22)</f>
        <v>0</v>
      </c>
      <c r="F7" s="58">
        <f>SUM(F8:F22)</f>
        <v>0</v>
      </c>
    </row>
    <row r="8" spans="1:6" ht="15" customHeight="1">
      <c r="A8" s="980"/>
      <c r="B8" s="7"/>
      <c r="C8" s="6"/>
      <c r="D8" s="49"/>
      <c r="E8" s="49"/>
      <c r="F8" s="49"/>
    </row>
    <row r="9" spans="1:6" ht="15" customHeight="1">
      <c r="A9" s="50"/>
      <c r="B9" s="7" t="s">
        <v>649</v>
      </c>
      <c r="C9" s="6"/>
      <c r="D9" s="1076">
        <v>0</v>
      </c>
      <c r="E9" s="1076">
        <v>0</v>
      </c>
      <c r="F9" s="1076">
        <v>0</v>
      </c>
    </row>
    <row r="10" spans="1:6" ht="15" customHeight="1">
      <c r="A10" s="980"/>
      <c r="B10" s="7"/>
      <c r="C10" s="6"/>
      <c r="D10" s="1078"/>
      <c r="E10" s="1078"/>
      <c r="F10" s="1078"/>
    </row>
    <row r="11" spans="1:6" ht="15" customHeight="1">
      <c r="A11" s="1079"/>
      <c r="B11" s="1969" t="s">
        <v>665</v>
      </c>
      <c r="C11" s="1970"/>
      <c r="D11" s="1076">
        <v>0</v>
      </c>
      <c r="E11" s="1076">
        <v>0</v>
      </c>
      <c r="F11" s="1076">
        <v>0</v>
      </c>
    </row>
    <row r="12" spans="1:6" ht="15" customHeight="1">
      <c r="A12" s="980"/>
      <c r="B12" s="7"/>
      <c r="C12" s="6"/>
      <c r="D12" s="57"/>
      <c r="E12" s="57"/>
      <c r="F12" s="57"/>
    </row>
    <row r="13" spans="1:6" ht="15" customHeight="1">
      <c r="A13" s="50"/>
      <c r="B13" s="7" t="s">
        <v>651</v>
      </c>
      <c r="C13" s="6" t="s">
        <v>652</v>
      </c>
      <c r="D13" s="1076">
        <v>0</v>
      </c>
      <c r="E13" s="1076">
        <v>0</v>
      </c>
      <c r="F13" s="1076">
        <v>0</v>
      </c>
    </row>
    <row r="14" spans="1:6" ht="15" customHeight="1">
      <c r="A14" s="980"/>
      <c r="B14" s="7"/>
      <c r="C14" s="6"/>
      <c r="D14" s="57"/>
      <c r="E14" s="57"/>
      <c r="F14" s="57"/>
    </row>
    <row r="15" spans="1:6" ht="15" customHeight="1">
      <c r="A15" s="50"/>
      <c r="B15" s="1081" t="s">
        <v>661</v>
      </c>
      <c r="C15" s="6"/>
      <c r="D15" s="1076">
        <v>0</v>
      </c>
      <c r="E15" s="1076">
        <v>0</v>
      </c>
      <c r="F15" s="1076">
        <v>0</v>
      </c>
    </row>
    <row r="16" spans="1:6" ht="15" customHeight="1">
      <c r="A16" s="980"/>
      <c r="B16" s="7"/>
      <c r="C16" s="6"/>
      <c r="D16" s="57"/>
      <c r="E16" s="57"/>
      <c r="F16" s="57"/>
    </row>
    <row r="17" spans="1:6" ht="15" customHeight="1">
      <c r="A17" s="50"/>
      <c r="B17" s="7" t="s">
        <v>654</v>
      </c>
      <c r="C17" s="6"/>
      <c r="D17" s="1076">
        <v>0</v>
      </c>
      <c r="E17" s="1076">
        <v>0</v>
      </c>
      <c r="F17" s="1076">
        <v>0</v>
      </c>
    </row>
    <row r="18" spans="1:6" ht="15" customHeight="1">
      <c r="A18" s="980"/>
      <c r="B18" s="7"/>
      <c r="C18" s="6"/>
      <c r="D18" s="49"/>
      <c r="E18" s="49"/>
      <c r="F18" s="49"/>
    </row>
    <row r="19" spans="1:6" ht="15" customHeight="1">
      <c r="A19" s="50"/>
      <c r="B19" s="7" t="s">
        <v>655</v>
      </c>
      <c r="C19" s="6"/>
      <c r="D19" s="1076">
        <v>0</v>
      </c>
      <c r="E19" s="1076">
        <v>0</v>
      </c>
      <c r="F19" s="1076">
        <v>0</v>
      </c>
    </row>
    <row r="20" spans="1:6" ht="15" customHeight="1">
      <c r="A20" s="980"/>
      <c r="B20" s="7"/>
      <c r="C20" s="6"/>
      <c r="D20" s="1078"/>
      <c r="E20" s="1078"/>
      <c r="F20" s="1078"/>
    </row>
    <row r="21" spans="1:6" ht="15" customHeight="1">
      <c r="A21" s="1079"/>
      <c r="B21" s="1969" t="s">
        <v>656</v>
      </c>
      <c r="C21" s="1970"/>
      <c r="D21" s="1076">
        <v>0</v>
      </c>
      <c r="E21" s="1076">
        <v>0</v>
      </c>
      <c r="F21" s="1076">
        <v>0</v>
      </c>
    </row>
    <row r="22" spans="1:6" ht="15" customHeight="1">
      <c r="A22" s="982"/>
      <c r="B22" s="26"/>
      <c r="C22" s="27"/>
      <c r="D22" s="51"/>
      <c r="E22" s="51"/>
      <c r="F22" s="51"/>
    </row>
    <row r="23" spans="1:6" ht="14.25">
      <c r="A23" s="980"/>
      <c r="B23" s="7"/>
      <c r="C23" s="6"/>
      <c r="D23" s="14"/>
      <c r="E23" s="14"/>
      <c r="F23" s="14"/>
    </row>
    <row r="24" spans="1:6" ht="15">
      <c r="A24" s="95" t="s">
        <v>3</v>
      </c>
      <c r="B24" s="30" t="s">
        <v>23</v>
      </c>
      <c r="C24" s="6"/>
      <c r="D24" s="58">
        <f>SUM(D41:D41)</f>
        <v>0</v>
      </c>
      <c r="E24" s="17">
        <f>SUM(E26:E41)</f>
        <v>0</v>
      </c>
      <c r="F24" s="58">
        <f>SUM(F41:F41)</f>
        <v>0</v>
      </c>
    </row>
    <row r="25" spans="1:6" ht="14.25">
      <c r="A25" s="980"/>
      <c r="B25" s="7"/>
      <c r="C25" s="6"/>
      <c r="D25" s="49"/>
      <c r="E25" s="49"/>
      <c r="F25" s="49"/>
    </row>
    <row r="26" spans="1:6" ht="14.25">
      <c r="A26" s="50"/>
      <c r="B26" s="7" t="s">
        <v>666</v>
      </c>
      <c r="C26" s="6"/>
      <c r="D26" s="1076">
        <v>0</v>
      </c>
      <c r="E26" s="1076">
        <v>0</v>
      </c>
      <c r="F26" s="1076">
        <v>0</v>
      </c>
    </row>
    <row r="27" spans="1:6" ht="14.25">
      <c r="A27" s="980"/>
      <c r="B27" s="7"/>
      <c r="C27" s="6"/>
      <c r="D27" s="49"/>
      <c r="E27" s="49"/>
      <c r="F27" s="49"/>
    </row>
    <row r="28" spans="1:6" ht="14.25">
      <c r="A28" s="50"/>
      <c r="B28" s="7" t="s">
        <v>667</v>
      </c>
      <c r="C28" s="6"/>
      <c r="D28" s="1076">
        <v>0</v>
      </c>
      <c r="E28" s="1076">
        <v>0</v>
      </c>
      <c r="F28" s="1076">
        <v>0</v>
      </c>
    </row>
    <row r="29" spans="1:6" ht="14.25">
      <c r="A29" s="980"/>
      <c r="B29" s="7"/>
      <c r="C29" s="6"/>
      <c r="D29" s="1078"/>
      <c r="E29" s="1078"/>
      <c r="F29" s="1078"/>
    </row>
    <row r="30" spans="1:6" ht="14.25">
      <c r="A30" s="1079"/>
      <c r="B30" s="1969" t="s">
        <v>668</v>
      </c>
      <c r="C30" s="1970"/>
      <c r="D30" s="1076">
        <v>0</v>
      </c>
      <c r="E30" s="1076">
        <v>0</v>
      </c>
      <c r="F30" s="1076">
        <v>0</v>
      </c>
    </row>
    <row r="31" spans="1:6" ht="14.25">
      <c r="A31" s="980"/>
      <c r="B31" s="7"/>
      <c r="C31" s="6"/>
      <c r="D31" s="57"/>
      <c r="E31" s="57"/>
      <c r="F31" s="57"/>
    </row>
    <row r="32" spans="1:6" ht="14.25">
      <c r="A32" s="50"/>
      <c r="B32" s="7" t="s">
        <v>660</v>
      </c>
      <c r="C32" s="6" t="s">
        <v>652</v>
      </c>
      <c r="D32" s="1076">
        <v>0</v>
      </c>
      <c r="E32" s="15">
        <v>0</v>
      </c>
      <c r="F32" s="1076">
        <v>0</v>
      </c>
    </row>
    <row r="33" spans="1:6" ht="14.25">
      <c r="A33" s="980"/>
      <c r="B33" s="7"/>
      <c r="C33" s="6"/>
      <c r="D33" s="57"/>
      <c r="E33" s="57"/>
      <c r="F33" s="57"/>
    </row>
    <row r="34" spans="1:6" ht="14.25">
      <c r="A34" s="50"/>
      <c r="B34" s="1081" t="s">
        <v>653</v>
      </c>
      <c r="C34" s="6"/>
      <c r="D34" s="1076">
        <v>0</v>
      </c>
      <c r="E34" s="1076">
        <v>0</v>
      </c>
      <c r="F34" s="1076">
        <v>0</v>
      </c>
    </row>
    <row r="35" spans="1:6" ht="14.25">
      <c r="A35" s="980"/>
      <c r="B35" s="7"/>
      <c r="C35" s="6"/>
      <c r="D35" s="57"/>
      <c r="E35" s="57"/>
      <c r="F35" s="57"/>
    </row>
    <row r="36" spans="1:6" ht="14.25">
      <c r="A36" s="50"/>
      <c r="B36" s="7" t="s">
        <v>662</v>
      </c>
      <c r="C36" s="6"/>
      <c r="D36" s="1076">
        <v>0</v>
      </c>
      <c r="E36" s="1076">
        <v>0</v>
      </c>
      <c r="F36" s="1076">
        <v>0</v>
      </c>
    </row>
    <row r="37" spans="1:6" ht="14.25">
      <c r="A37" s="980"/>
      <c r="B37" s="7"/>
      <c r="C37" s="6"/>
      <c r="D37" s="49"/>
      <c r="E37" s="49"/>
      <c r="F37" s="49"/>
    </row>
    <row r="38" spans="1:6" ht="14.25">
      <c r="A38" s="50"/>
      <c r="B38" s="7" t="s">
        <v>663</v>
      </c>
      <c r="C38" s="6"/>
      <c r="D38" s="1076">
        <v>0</v>
      </c>
      <c r="E38" s="1076">
        <v>0</v>
      </c>
      <c r="F38" s="1076">
        <v>0</v>
      </c>
    </row>
    <row r="39" spans="1:6" ht="14.25">
      <c r="A39" s="980"/>
      <c r="B39" s="7"/>
      <c r="C39" s="6"/>
      <c r="D39" s="1078"/>
      <c r="E39" s="1078"/>
      <c r="F39" s="1078"/>
    </row>
    <row r="40" spans="1:6" ht="14.25">
      <c r="A40" s="1079"/>
      <c r="B40" s="1969" t="s">
        <v>664</v>
      </c>
      <c r="C40" s="1970"/>
      <c r="D40" s="1076">
        <v>0</v>
      </c>
      <c r="E40" s="1076">
        <v>0</v>
      </c>
      <c r="F40" s="1076">
        <v>0</v>
      </c>
    </row>
    <row r="41" spans="1:6" ht="14.25">
      <c r="A41" s="982"/>
      <c r="B41" s="26"/>
      <c r="C41" s="27"/>
      <c r="D41" s="28"/>
      <c r="E41" s="28"/>
      <c r="F41" s="28"/>
    </row>
    <row r="42" spans="1:6" ht="14.25">
      <c r="A42" s="979"/>
      <c r="B42" s="21"/>
      <c r="C42" s="21"/>
      <c r="D42" s="23"/>
      <c r="E42" s="23"/>
      <c r="F42" s="23"/>
    </row>
    <row r="43" spans="1:6" ht="15">
      <c r="A43" s="95" t="s">
        <v>227</v>
      </c>
      <c r="B43" s="30" t="s">
        <v>28</v>
      </c>
      <c r="C43" s="7"/>
      <c r="D43" s="17">
        <f>D4+D7+D24</f>
        <v>0</v>
      </c>
      <c r="E43" s="17">
        <f>E4+E7+E24</f>
        <v>0</v>
      </c>
      <c r="F43" s="17">
        <f>F4+F7+F24</f>
        <v>0</v>
      </c>
    </row>
    <row r="44" spans="1:6" ht="14.25">
      <c r="A44" s="982"/>
      <c r="B44" s="26"/>
      <c r="C44" s="26"/>
      <c r="D44" s="28"/>
      <c r="E44" s="1083"/>
      <c r="F44" s="1084"/>
    </row>
  </sheetData>
  <sheetProtection/>
  <mergeCells count="5">
    <mergeCell ref="B21:C21"/>
    <mergeCell ref="B30:C30"/>
    <mergeCell ref="B40:C40"/>
    <mergeCell ref="A2:C2"/>
    <mergeCell ref="B11:C11"/>
  </mergeCells>
  <printOptions/>
  <pageMargins left="0.7" right="0.7" top="0.75" bottom="0.75" header="0.3" footer="0.3"/>
  <pageSetup horizontalDpi="600" verticalDpi="600" orientation="portrait" paperSize="9" scale="89" r:id="rId1"/>
  <ignoredErrors>
    <ignoredError sqref="E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21"/>
  <sheetViews>
    <sheetView zoomScale="90" zoomScaleNormal="90" zoomScalePageLayoutView="0" workbookViewId="0" topLeftCell="A1">
      <selection activeCell="F17" sqref="F17:G17"/>
    </sheetView>
  </sheetViews>
  <sheetFormatPr defaultColWidth="9.140625" defaultRowHeight="12.75"/>
  <cols>
    <col min="1" max="1" width="3.28125" style="10" customWidth="1"/>
    <col min="2" max="2" width="54.28125" style="10" customWidth="1"/>
    <col min="3" max="3" width="11.28125" style="10" bestFit="1" customWidth="1"/>
    <col min="4" max="4" width="9.140625" style="10" customWidth="1"/>
    <col min="5" max="5" width="11.28125" style="10" bestFit="1" customWidth="1"/>
    <col min="6" max="6" width="9.8515625" style="10" customWidth="1"/>
    <col min="7" max="7" width="11.421875" style="10" customWidth="1"/>
    <col min="8" max="8" width="9.140625" style="10" customWidth="1"/>
    <col min="9" max="9" width="11.28125" style="10" bestFit="1" customWidth="1"/>
    <col min="10" max="10" width="10.28125" style="10" customWidth="1"/>
    <col min="11" max="16384" width="9.140625" style="10" customWidth="1"/>
  </cols>
  <sheetData>
    <row r="1" spans="1:10" s="463" customFormat="1" ht="16.5" customHeight="1">
      <c r="A1" s="461" t="s">
        <v>301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24.75" customHeight="1">
      <c r="A2" s="1974" t="s">
        <v>669</v>
      </c>
      <c r="B2" s="1975"/>
      <c r="C2" s="1971">
        <v>43100</v>
      </c>
      <c r="D2" s="1972"/>
      <c r="E2" s="1972"/>
      <c r="F2" s="1973"/>
      <c r="G2" s="1971">
        <v>42735</v>
      </c>
      <c r="H2" s="1972"/>
      <c r="I2" s="1972"/>
      <c r="J2" s="1973"/>
    </row>
    <row r="3" spans="1:10" ht="16.5" customHeight="1">
      <c r="A3" s="1976"/>
      <c r="B3" s="1977"/>
      <c r="C3" s="1085" t="s">
        <v>309</v>
      </c>
      <c r="D3" s="1085" t="s">
        <v>310</v>
      </c>
      <c r="E3" s="1085" t="s">
        <v>311</v>
      </c>
      <c r="F3" s="1086" t="s">
        <v>312</v>
      </c>
      <c r="G3" s="1085" t="s">
        <v>309</v>
      </c>
      <c r="H3" s="1085" t="s">
        <v>310</v>
      </c>
      <c r="I3" s="1085" t="s">
        <v>311</v>
      </c>
      <c r="J3" s="1086" t="s">
        <v>312</v>
      </c>
    </row>
    <row r="4" spans="1:10" ht="14.25" customHeight="1">
      <c r="A4" s="874"/>
      <c r="B4" s="121"/>
      <c r="C4" s="890"/>
      <c r="D4" s="1087"/>
      <c r="E4" s="1087"/>
      <c r="F4" s="423"/>
      <c r="G4" s="890"/>
      <c r="H4" s="1087"/>
      <c r="I4" s="1087"/>
      <c r="J4" s="423"/>
    </row>
    <row r="5" spans="1:10" ht="14.25" customHeight="1">
      <c r="A5" s="874" t="s">
        <v>0</v>
      </c>
      <c r="B5" s="192" t="s">
        <v>302</v>
      </c>
      <c r="C5" s="131" t="s">
        <v>226</v>
      </c>
      <c r="D5" s="131" t="s">
        <v>226</v>
      </c>
      <c r="E5" s="131" t="s">
        <v>226</v>
      </c>
      <c r="F5" s="131" t="s">
        <v>226</v>
      </c>
      <c r="G5" s="131" t="s">
        <v>226</v>
      </c>
      <c r="H5" s="131" t="s">
        <v>226</v>
      </c>
      <c r="I5" s="131" t="s">
        <v>226</v>
      </c>
      <c r="J5" s="131" t="s">
        <v>226</v>
      </c>
    </row>
    <row r="6" spans="1:10" ht="14.25" customHeight="1">
      <c r="A6" s="874"/>
      <c r="B6" s="121"/>
      <c r="C6" s="958"/>
      <c r="D6" s="1087"/>
      <c r="E6" s="1087"/>
      <c r="F6" s="423"/>
      <c r="G6" s="958"/>
      <c r="H6" s="1087"/>
      <c r="I6" s="1087"/>
      <c r="J6" s="423"/>
    </row>
    <row r="7" spans="1:10" ht="14.25" customHeight="1">
      <c r="A7" s="874" t="s">
        <v>2</v>
      </c>
      <c r="B7" s="192" t="s">
        <v>303</v>
      </c>
      <c r="C7" s="84"/>
      <c r="D7" s="131"/>
      <c r="E7" s="84"/>
      <c r="F7" s="131"/>
      <c r="G7" s="84">
        <v>87762048</v>
      </c>
      <c r="H7" s="131" t="s">
        <v>226</v>
      </c>
      <c r="I7" s="84">
        <v>87762048</v>
      </c>
      <c r="J7" s="131" t="s">
        <v>226</v>
      </c>
    </row>
    <row r="8" spans="1:13" ht="14.25" customHeight="1">
      <c r="A8" s="874"/>
      <c r="B8" s="121"/>
      <c r="C8" s="958"/>
      <c r="D8" s="1087"/>
      <c r="E8" s="1087"/>
      <c r="F8" s="423"/>
      <c r="G8" s="958"/>
      <c r="H8" s="1087"/>
      <c r="I8" s="1087"/>
      <c r="J8" s="423"/>
      <c r="K8" s="386" t="s">
        <v>434</v>
      </c>
      <c r="M8" s="10" t="s">
        <v>314</v>
      </c>
    </row>
    <row r="9" spans="1:10" ht="15.75" customHeight="1">
      <c r="A9" s="874" t="s">
        <v>3</v>
      </c>
      <c r="B9" s="192" t="s">
        <v>304</v>
      </c>
      <c r="C9" s="84"/>
      <c r="D9" s="131"/>
      <c r="E9" s="84"/>
      <c r="F9" s="131"/>
      <c r="G9" s="84">
        <v>352976</v>
      </c>
      <c r="H9" s="131" t="s">
        <v>226</v>
      </c>
      <c r="I9" s="84">
        <v>352976</v>
      </c>
      <c r="J9" s="131">
        <v>0</v>
      </c>
    </row>
    <row r="10" spans="1:10" ht="14.25" customHeight="1">
      <c r="A10" s="874"/>
      <c r="B10" s="121"/>
      <c r="C10" s="958"/>
      <c r="D10" s="1087"/>
      <c r="E10" s="1087"/>
      <c r="F10" s="423"/>
      <c r="G10" s="958"/>
      <c r="H10" s="1087"/>
      <c r="I10" s="1087"/>
      <c r="J10" s="423"/>
    </row>
    <row r="11" spans="1:10" ht="14.25" customHeight="1">
      <c r="A11" s="1088" t="s">
        <v>227</v>
      </c>
      <c r="B11" s="121" t="s">
        <v>305</v>
      </c>
      <c r="C11" s="84"/>
      <c r="D11" s="131"/>
      <c r="E11" s="84"/>
      <c r="F11" s="84"/>
      <c r="G11" s="84">
        <v>1292001</v>
      </c>
      <c r="H11" s="131" t="s">
        <v>226</v>
      </c>
      <c r="I11" s="84" t="s">
        <v>226</v>
      </c>
      <c r="J11" s="84">
        <v>1292001</v>
      </c>
    </row>
    <row r="12" spans="1:10" ht="14.25" customHeight="1">
      <c r="A12" s="874"/>
      <c r="B12" s="121"/>
      <c r="C12" s="958"/>
      <c r="D12" s="1087"/>
      <c r="E12" s="1087"/>
      <c r="F12" s="423"/>
      <c r="G12" s="958"/>
      <c r="H12" s="1087"/>
      <c r="I12" s="1087"/>
      <c r="J12" s="423"/>
    </row>
    <row r="13" spans="1:10" ht="15.75" customHeight="1">
      <c r="A13" s="1978" t="s">
        <v>5</v>
      </c>
      <c r="B13" s="1979"/>
      <c r="C13" s="116">
        <f aca="true" t="shared" si="0" ref="C13:J13">SUM(C5:C11)</f>
        <v>0</v>
      </c>
      <c r="D13" s="117">
        <f t="shared" si="0"/>
        <v>0</v>
      </c>
      <c r="E13" s="116">
        <f t="shared" si="0"/>
        <v>0</v>
      </c>
      <c r="F13" s="116">
        <f t="shared" si="0"/>
        <v>0</v>
      </c>
      <c r="G13" s="116">
        <f t="shared" si="0"/>
        <v>89407025</v>
      </c>
      <c r="H13" s="117">
        <f t="shared" si="0"/>
        <v>0</v>
      </c>
      <c r="I13" s="116">
        <f t="shared" si="0"/>
        <v>88115024</v>
      </c>
      <c r="J13" s="116">
        <f t="shared" si="0"/>
        <v>1292001</v>
      </c>
    </row>
    <row r="14" spans="1:10" ht="14.25">
      <c r="A14" s="874"/>
      <c r="B14" s="121"/>
      <c r="C14" s="84"/>
      <c r="D14" s="1087"/>
      <c r="E14" s="1087"/>
      <c r="F14" s="423"/>
      <c r="G14" s="84"/>
      <c r="H14" s="1087"/>
      <c r="I14" s="1087"/>
      <c r="J14" s="423"/>
    </row>
    <row r="15" spans="1:10" ht="14.25">
      <c r="A15" s="874" t="s">
        <v>0</v>
      </c>
      <c r="B15" s="192" t="s">
        <v>306</v>
      </c>
      <c r="C15" s="84"/>
      <c r="D15" s="131"/>
      <c r="E15" s="84"/>
      <c r="F15" s="131" t="s">
        <v>226</v>
      </c>
      <c r="G15" s="84">
        <v>4420394</v>
      </c>
      <c r="H15" s="131" t="s">
        <v>226</v>
      </c>
      <c r="I15" s="84">
        <v>4420394</v>
      </c>
      <c r="J15" s="131" t="s">
        <v>226</v>
      </c>
    </row>
    <row r="16" spans="1:10" ht="14.25">
      <c r="A16" s="874"/>
      <c r="B16" s="121"/>
      <c r="C16" s="958"/>
      <c r="D16" s="1087"/>
      <c r="E16" s="1087"/>
      <c r="F16" s="423"/>
      <c r="G16" s="958"/>
      <c r="H16" s="1087"/>
      <c r="I16" s="1087"/>
      <c r="J16" s="423"/>
    </row>
    <row r="17" spans="1:10" ht="14.25">
      <c r="A17" s="874" t="s">
        <v>2</v>
      </c>
      <c r="B17" s="192" t="s">
        <v>307</v>
      </c>
      <c r="C17" s="131"/>
      <c r="D17" s="131"/>
      <c r="E17" s="131"/>
      <c r="F17" s="131" t="s">
        <v>226</v>
      </c>
      <c r="G17" s="131" t="s">
        <v>226</v>
      </c>
      <c r="H17" s="131" t="s">
        <v>226</v>
      </c>
      <c r="I17" s="131" t="s">
        <v>226</v>
      </c>
      <c r="J17" s="131" t="s">
        <v>226</v>
      </c>
    </row>
    <row r="18" spans="1:10" ht="14.25">
      <c r="A18" s="874"/>
      <c r="B18" s="121"/>
      <c r="C18" s="958"/>
      <c r="D18" s="1087"/>
      <c r="E18" s="1087"/>
      <c r="F18" s="423"/>
      <c r="G18" s="958"/>
      <c r="H18" s="1087"/>
      <c r="I18" s="1087"/>
      <c r="J18" s="423"/>
    </row>
    <row r="19" spans="1:10" ht="14.25">
      <c r="A19" s="874" t="s">
        <v>3</v>
      </c>
      <c r="B19" s="121" t="s">
        <v>308</v>
      </c>
      <c r="C19" s="84"/>
      <c r="D19" s="131"/>
      <c r="E19" s="84"/>
      <c r="F19" s="131" t="s">
        <v>226</v>
      </c>
      <c r="G19" s="84">
        <v>3208</v>
      </c>
      <c r="H19" s="131" t="s">
        <v>226</v>
      </c>
      <c r="I19" s="84">
        <v>3208</v>
      </c>
      <c r="J19" s="131" t="s">
        <v>226</v>
      </c>
    </row>
    <row r="20" spans="1:10" ht="14.25">
      <c r="A20" s="874"/>
      <c r="B20" s="121"/>
      <c r="C20" s="958"/>
      <c r="D20" s="1087"/>
      <c r="E20" s="1087"/>
      <c r="F20" s="423"/>
      <c r="G20" s="958"/>
      <c r="H20" s="1087"/>
      <c r="I20" s="1087"/>
      <c r="J20" s="423"/>
    </row>
    <row r="21" spans="1:10" ht="15">
      <c r="A21" s="1978" t="s">
        <v>5</v>
      </c>
      <c r="B21" s="1979"/>
      <c r="C21" s="116">
        <f aca="true" t="shared" si="1" ref="C21:J21">SUM(C15:C19)</f>
        <v>0</v>
      </c>
      <c r="D21" s="117">
        <f t="shared" si="1"/>
        <v>0</v>
      </c>
      <c r="E21" s="116">
        <f t="shared" si="1"/>
        <v>0</v>
      </c>
      <c r="F21" s="117">
        <f t="shared" si="1"/>
        <v>0</v>
      </c>
      <c r="G21" s="116">
        <f t="shared" si="1"/>
        <v>4423602</v>
      </c>
      <c r="H21" s="117">
        <f t="shared" si="1"/>
        <v>0</v>
      </c>
      <c r="I21" s="116">
        <f t="shared" si="1"/>
        <v>4423602</v>
      </c>
      <c r="J21" s="117">
        <f t="shared" si="1"/>
        <v>0</v>
      </c>
    </row>
  </sheetData>
  <sheetProtection/>
  <mergeCells count="5">
    <mergeCell ref="G2:J2"/>
    <mergeCell ref="A2:B3"/>
    <mergeCell ref="C2:F2"/>
    <mergeCell ref="A13:B13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B1:K75"/>
  <sheetViews>
    <sheetView zoomScale="90" zoomScaleNormal="90" zoomScalePageLayoutView="0" workbookViewId="0" topLeftCell="A1">
      <selection activeCell="E7" sqref="E7:G31"/>
    </sheetView>
  </sheetViews>
  <sheetFormatPr defaultColWidth="9.140625" defaultRowHeight="12.75"/>
  <cols>
    <col min="1" max="1" width="2.7109375" style="10" customWidth="1"/>
    <col min="2" max="2" width="3.8515625" style="10" customWidth="1"/>
    <col min="3" max="3" width="9.421875" style="10" bestFit="1" customWidth="1"/>
    <col min="4" max="4" width="24.00390625" style="10" customWidth="1"/>
    <col min="5" max="10" width="12.28125" style="450" customWidth="1"/>
    <col min="11" max="16384" width="9.140625" style="10" customWidth="1"/>
  </cols>
  <sheetData>
    <row r="1" spans="2:10" s="390" customFormat="1" ht="16.5" customHeight="1">
      <c r="B1" s="148" t="s">
        <v>240</v>
      </c>
      <c r="C1" s="388"/>
      <c r="D1" s="385"/>
      <c r="E1" s="451"/>
      <c r="F1" s="451"/>
      <c r="G1" s="451"/>
      <c r="H1" s="451"/>
      <c r="I1" s="451"/>
      <c r="J1" s="451"/>
    </row>
    <row r="2" spans="2:10" ht="23.25" customHeight="1">
      <c r="B2" s="1980" t="s">
        <v>63</v>
      </c>
      <c r="C2" s="1981"/>
      <c r="D2" s="1982"/>
      <c r="E2" s="1986">
        <v>43100</v>
      </c>
      <c r="F2" s="1986"/>
      <c r="G2" s="1987"/>
      <c r="H2" s="1986">
        <v>42735</v>
      </c>
      <c r="I2" s="1986"/>
      <c r="J2" s="1987"/>
    </row>
    <row r="3" spans="2:10" ht="21" customHeight="1">
      <c r="B3" s="1983"/>
      <c r="C3" s="1984"/>
      <c r="D3" s="1985"/>
      <c r="E3" s="11" t="s">
        <v>72</v>
      </c>
      <c r="F3" s="11" t="s">
        <v>73</v>
      </c>
      <c r="G3" s="11" t="s">
        <v>74</v>
      </c>
      <c r="H3" s="11" t="s">
        <v>72</v>
      </c>
      <c r="I3" s="11" t="s">
        <v>73</v>
      </c>
      <c r="J3" s="11" t="s">
        <v>74</v>
      </c>
    </row>
    <row r="4" spans="2:10" ht="6" customHeight="1">
      <c r="B4" s="1"/>
      <c r="C4" s="2"/>
      <c r="D4" s="3"/>
      <c r="E4" s="466"/>
      <c r="F4" s="466"/>
      <c r="G4" s="466"/>
      <c r="H4" s="466"/>
      <c r="I4" s="466"/>
      <c r="J4" s="466"/>
    </row>
    <row r="5" spans="2:10" ht="15.75" customHeight="1">
      <c r="B5" s="80" t="s">
        <v>66</v>
      </c>
      <c r="C5" s="20" t="s">
        <v>67</v>
      </c>
      <c r="D5" s="43"/>
      <c r="E5" s="55"/>
      <c r="F5" s="55"/>
      <c r="G5" s="394"/>
      <c r="H5" s="54"/>
      <c r="I5" s="55"/>
      <c r="J5" s="416"/>
    </row>
    <row r="6" spans="2:10" ht="6" customHeight="1">
      <c r="B6" s="50"/>
      <c r="C6" s="85"/>
      <c r="D6" s="86"/>
      <c r="E6" s="422"/>
      <c r="F6" s="422"/>
      <c r="G6" s="465"/>
      <c r="H6" s="422"/>
      <c r="I6" s="422"/>
      <c r="J6" s="422"/>
    </row>
    <row r="7" spans="2:10" ht="15" customHeight="1">
      <c r="B7" s="50" t="s">
        <v>0</v>
      </c>
      <c r="C7" s="5" t="s">
        <v>1</v>
      </c>
      <c r="D7" s="6"/>
      <c r="E7" s="55">
        <f aca="true" t="shared" si="0" ref="E7:J7">SUM(E11+E9)</f>
        <v>0</v>
      </c>
      <c r="F7" s="55">
        <f t="shared" si="0"/>
        <v>0</v>
      </c>
      <c r="G7" s="149">
        <f>SUM(G11+G9)</f>
        <v>1</v>
      </c>
      <c r="H7" s="55">
        <f t="shared" si="0"/>
        <v>0</v>
      </c>
      <c r="I7" s="55">
        <f t="shared" si="0"/>
        <v>0</v>
      </c>
      <c r="J7" s="149">
        <f t="shared" si="0"/>
        <v>1</v>
      </c>
    </row>
    <row r="8" spans="2:10" ht="6" customHeight="1">
      <c r="B8" s="50"/>
      <c r="C8" s="7"/>
      <c r="D8" s="6"/>
      <c r="E8" s="54"/>
      <c r="F8" s="54"/>
      <c r="G8" s="54"/>
      <c r="H8" s="54"/>
      <c r="I8" s="55"/>
      <c r="J8" s="55"/>
    </row>
    <row r="9" spans="2:10" ht="15" customHeight="1">
      <c r="B9" s="50"/>
      <c r="C9" s="60" t="s">
        <v>68</v>
      </c>
      <c r="D9" s="6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</row>
    <row r="10" spans="2:10" ht="6" customHeight="1">
      <c r="B10" s="50"/>
      <c r="C10" s="7"/>
      <c r="D10" s="6"/>
      <c r="E10" s="54"/>
      <c r="F10" s="54"/>
      <c r="G10" s="54"/>
      <c r="H10" s="54"/>
      <c r="I10" s="55"/>
      <c r="J10" s="55"/>
    </row>
    <row r="11" spans="2:11" ht="15" customHeight="1">
      <c r="B11" s="50"/>
      <c r="C11" s="60" t="s">
        <v>69</v>
      </c>
      <c r="D11" s="6"/>
      <c r="E11" s="55">
        <v>0</v>
      </c>
      <c r="F11" s="55">
        <v>0</v>
      </c>
      <c r="G11" s="149">
        <v>1</v>
      </c>
      <c r="H11" s="55">
        <v>0</v>
      </c>
      <c r="I11" s="55">
        <v>0</v>
      </c>
      <c r="J11" s="149">
        <v>1</v>
      </c>
      <c r="K11" s="450"/>
    </row>
    <row r="12" spans="2:10" ht="6" customHeight="1">
      <c r="B12" s="50"/>
      <c r="C12" s="7"/>
      <c r="D12" s="6"/>
      <c r="E12" s="54"/>
      <c r="F12" s="54"/>
      <c r="G12" s="54"/>
      <c r="H12" s="54"/>
      <c r="I12" s="55"/>
      <c r="J12" s="416"/>
    </row>
    <row r="13" spans="2:10" ht="15" customHeight="1">
      <c r="B13" s="50" t="s">
        <v>2</v>
      </c>
      <c r="C13" s="7" t="s">
        <v>70</v>
      </c>
      <c r="D13" s="6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</row>
    <row r="14" spans="2:10" ht="6" customHeight="1">
      <c r="B14" s="50"/>
      <c r="C14" s="7"/>
      <c r="D14" s="6"/>
      <c r="E14" s="54"/>
      <c r="F14" s="55"/>
      <c r="G14" s="55"/>
      <c r="H14" s="54"/>
      <c r="I14" s="55"/>
      <c r="J14" s="416"/>
    </row>
    <row r="15" spans="2:10" ht="15" customHeight="1">
      <c r="B15" s="50" t="s">
        <v>3</v>
      </c>
      <c r="C15" s="7" t="s">
        <v>4</v>
      </c>
      <c r="D15" s="6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</row>
    <row r="16" spans="2:10" ht="6" customHeight="1">
      <c r="B16" s="63"/>
      <c r="C16" s="26"/>
      <c r="D16" s="27"/>
      <c r="E16" s="407"/>
      <c r="F16" s="425"/>
      <c r="G16" s="419"/>
      <c r="H16" s="407"/>
      <c r="I16" s="425"/>
      <c r="J16" s="407"/>
    </row>
    <row r="17" spans="2:10" ht="6" customHeight="1">
      <c r="B17" s="1"/>
      <c r="C17" s="21"/>
      <c r="D17" s="21"/>
      <c r="E17" s="25"/>
      <c r="F17" s="456"/>
      <c r="G17" s="25"/>
      <c r="H17" s="25"/>
      <c r="I17" s="456"/>
      <c r="J17" s="25"/>
    </row>
    <row r="18" spans="2:10" ht="15.75" customHeight="1">
      <c r="B18" s="80"/>
      <c r="C18" s="30" t="s">
        <v>71</v>
      </c>
      <c r="D18" s="30"/>
      <c r="E18" s="17">
        <f aca="true" t="shared" si="1" ref="E18:J18">SUM(E7+E13+E15)</f>
        <v>0</v>
      </c>
      <c r="F18" s="17">
        <f t="shared" si="1"/>
        <v>0</v>
      </c>
      <c r="G18" s="16">
        <f>SUM(G7+G13+G15)</f>
        <v>1</v>
      </c>
      <c r="H18" s="17">
        <f t="shared" si="1"/>
        <v>0</v>
      </c>
      <c r="I18" s="17">
        <f t="shared" si="1"/>
        <v>0</v>
      </c>
      <c r="J18" s="16">
        <f t="shared" si="1"/>
        <v>1</v>
      </c>
    </row>
    <row r="19" spans="2:10" ht="6" customHeight="1">
      <c r="B19" s="92"/>
      <c r="C19" s="458"/>
      <c r="D19" s="458"/>
      <c r="E19" s="459"/>
      <c r="F19" s="459"/>
      <c r="G19" s="29"/>
      <c r="H19" s="459"/>
      <c r="I19" s="459"/>
      <c r="J19" s="29"/>
    </row>
    <row r="20" spans="2:10" ht="6" customHeight="1">
      <c r="B20" s="50"/>
      <c r="C20" s="7"/>
      <c r="D20" s="6"/>
      <c r="E20" s="55"/>
      <c r="F20" s="55"/>
      <c r="G20" s="394"/>
      <c r="H20" s="55"/>
      <c r="I20" s="55"/>
      <c r="J20" s="54"/>
    </row>
    <row r="21" spans="2:10" ht="15" customHeight="1">
      <c r="B21" s="80" t="s">
        <v>75</v>
      </c>
      <c r="C21" s="20" t="s">
        <v>14</v>
      </c>
      <c r="D21" s="43"/>
      <c r="E21" s="55"/>
      <c r="F21" s="55"/>
      <c r="G21" s="55"/>
      <c r="H21" s="55"/>
      <c r="I21" s="55"/>
      <c r="J21" s="55"/>
    </row>
    <row r="22" spans="2:10" ht="6" customHeight="1">
      <c r="B22" s="50"/>
      <c r="C22" s="7"/>
      <c r="D22" s="6"/>
      <c r="E22" s="55"/>
      <c r="F22" s="55"/>
      <c r="G22" s="55"/>
      <c r="H22" s="55"/>
      <c r="I22" s="55"/>
      <c r="J22" s="55"/>
    </row>
    <row r="23" spans="2:10" ht="15" customHeight="1">
      <c r="B23" s="50" t="s">
        <v>0</v>
      </c>
      <c r="C23" s="5" t="s">
        <v>76</v>
      </c>
      <c r="D23" s="6"/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</row>
    <row r="24" spans="2:10" ht="6" customHeight="1">
      <c r="B24" s="50"/>
      <c r="C24" s="7"/>
      <c r="D24" s="6"/>
      <c r="E24" s="55"/>
      <c r="F24" s="55"/>
      <c r="G24" s="55"/>
      <c r="H24" s="55"/>
      <c r="I24" s="55"/>
      <c r="J24" s="55"/>
    </row>
    <row r="25" spans="2:10" ht="15" customHeight="1">
      <c r="B25" s="50" t="s">
        <v>2</v>
      </c>
      <c r="C25" s="7" t="s">
        <v>77</v>
      </c>
      <c r="D25" s="6"/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</row>
    <row r="26" spans="2:10" ht="6" customHeight="1">
      <c r="B26" s="63"/>
      <c r="C26" s="26"/>
      <c r="D26" s="27"/>
      <c r="E26" s="425"/>
      <c r="F26" s="425"/>
      <c r="G26" s="467"/>
      <c r="H26" s="425"/>
      <c r="I26" s="425"/>
      <c r="J26" s="407"/>
    </row>
    <row r="27" spans="2:10" ht="6" customHeight="1">
      <c r="B27" s="1"/>
      <c r="C27" s="21"/>
      <c r="D27" s="22"/>
      <c r="E27" s="456"/>
      <c r="F27" s="456"/>
      <c r="G27" s="456"/>
      <c r="H27" s="456"/>
      <c r="I27" s="456"/>
      <c r="J27" s="25"/>
    </row>
    <row r="28" spans="2:10" ht="15.75" customHeight="1">
      <c r="B28" s="80"/>
      <c r="C28" s="30" t="s">
        <v>78</v>
      </c>
      <c r="D28" s="43"/>
      <c r="E28" s="17">
        <f aca="true" t="shared" si="2" ref="E28:J28">E21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</row>
    <row r="29" spans="2:10" ht="6" customHeight="1">
      <c r="B29" s="92"/>
      <c r="C29" s="458"/>
      <c r="D29" s="460"/>
      <c r="E29" s="459"/>
      <c r="F29" s="459"/>
      <c r="G29" s="459"/>
      <c r="H29" s="459"/>
      <c r="I29" s="459"/>
      <c r="J29" s="459"/>
    </row>
    <row r="30" spans="2:10" s="139" customFormat="1" ht="6" customHeight="1">
      <c r="B30" s="411"/>
      <c r="C30" s="454"/>
      <c r="D30" s="455"/>
      <c r="E30" s="456"/>
      <c r="F30" s="456"/>
      <c r="G30" s="456"/>
      <c r="H30" s="456"/>
      <c r="I30" s="456"/>
      <c r="J30" s="456"/>
    </row>
    <row r="31" spans="2:11" ht="15.75" customHeight="1">
      <c r="B31" s="40"/>
      <c r="C31" s="30" t="s">
        <v>5</v>
      </c>
      <c r="D31" s="6"/>
      <c r="E31" s="17">
        <f aca="true" t="shared" si="3" ref="E31:J31">E18+E28</f>
        <v>0</v>
      </c>
      <c r="F31" s="17">
        <f t="shared" si="3"/>
        <v>0</v>
      </c>
      <c r="G31" s="16">
        <f>G18+G28</f>
        <v>1</v>
      </c>
      <c r="H31" s="17">
        <f t="shared" si="3"/>
        <v>0</v>
      </c>
      <c r="I31" s="17">
        <f t="shared" si="3"/>
        <v>0</v>
      </c>
      <c r="J31" s="16">
        <f t="shared" si="3"/>
        <v>1</v>
      </c>
      <c r="K31" s="139"/>
    </row>
    <row r="32" spans="2:11" ht="6" customHeight="1">
      <c r="B32" s="457"/>
      <c r="C32" s="458"/>
      <c r="D32" s="27"/>
      <c r="E32" s="459"/>
      <c r="F32" s="459"/>
      <c r="G32" s="29"/>
      <c r="H32" s="459"/>
      <c r="I32" s="459"/>
      <c r="J32" s="29"/>
      <c r="K32" s="139"/>
    </row>
    <row r="34" ht="12.75">
      <c r="C34" s="961"/>
    </row>
    <row r="35" ht="31.5" customHeight="1"/>
    <row r="36" spans="2:10" ht="25.5" customHeight="1">
      <c r="B36" s="1980" t="s">
        <v>63</v>
      </c>
      <c r="C36" s="1981"/>
      <c r="D36" s="1982"/>
      <c r="E36" s="89">
        <v>43100</v>
      </c>
      <c r="F36" s="143">
        <v>42735</v>
      </c>
      <c r="G36" s="452"/>
      <c r="H36" s="453"/>
      <c r="I36" s="453"/>
      <c r="J36" s="452"/>
    </row>
    <row r="37" spans="2:6" ht="6" customHeight="1">
      <c r="B37" s="1"/>
      <c r="C37" s="21"/>
      <c r="D37" s="22"/>
      <c r="E37" s="23"/>
      <c r="F37" s="23"/>
    </row>
    <row r="38" spans="2:10" ht="15.75" customHeight="1">
      <c r="B38" s="88" t="s">
        <v>67</v>
      </c>
      <c r="C38" s="20"/>
      <c r="D38" s="43"/>
      <c r="E38" s="16">
        <f>E40+E42+E44+E46+E48</f>
        <v>1</v>
      </c>
      <c r="F38" s="16">
        <f>F40+F42+F44+F46+F48</f>
        <v>1</v>
      </c>
      <c r="G38" s="10"/>
      <c r="H38" s="10"/>
      <c r="I38" s="10"/>
      <c r="J38" s="10"/>
    </row>
    <row r="39" spans="2:10" ht="6" customHeight="1">
      <c r="B39" s="50"/>
      <c r="C39" s="7"/>
      <c r="D39" s="6"/>
      <c r="E39" s="14"/>
      <c r="F39" s="14"/>
      <c r="G39" s="10"/>
      <c r="H39" s="10"/>
      <c r="I39" s="10"/>
      <c r="J39" s="10"/>
    </row>
    <row r="40" spans="2:10" ht="15" customHeight="1">
      <c r="B40" s="50" t="s">
        <v>6</v>
      </c>
      <c r="C40" s="7" t="s">
        <v>79</v>
      </c>
      <c r="D40" s="6"/>
      <c r="E40" s="32">
        <f>SUM(E41:E41)</f>
        <v>0</v>
      </c>
      <c r="F40" s="32">
        <f>SUM(F41:F41)</f>
        <v>0</v>
      </c>
      <c r="G40" s="10"/>
      <c r="H40" s="10"/>
      <c r="I40" s="10"/>
      <c r="J40" s="10"/>
    </row>
    <row r="41" spans="2:10" ht="6" customHeight="1">
      <c r="B41" s="50"/>
      <c r="C41" s="7"/>
      <c r="D41" s="6"/>
      <c r="E41" s="31"/>
      <c r="F41" s="31"/>
      <c r="G41" s="10"/>
      <c r="H41" s="10"/>
      <c r="I41" s="10"/>
      <c r="J41" s="10"/>
    </row>
    <row r="42" spans="2:10" ht="15" customHeight="1">
      <c r="B42" s="50" t="s">
        <v>7</v>
      </c>
      <c r="C42" s="7" t="s">
        <v>80</v>
      </c>
      <c r="D42" s="6"/>
      <c r="E42" s="32">
        <v>0</v>
      </c>
      <c r="F42" s="32">
        <v>0</v>
      </c>
      <c r="G42" s="10"/>
      <c r="H42" s="10"/>
      <c r="I42" s="10"/>
      <c r="J42" s="10"/>
    </row>
    <row r="43" spans="2:10" ht="6" customHeight="1">
      <c r="B43" s="50"/>
      <c r="C43" s="7"/>
      <c r="D43" s="6"/>
      <c r="E43" s="31"/>
      <c r="F43" s="31"/>
      <c r="G43" s="10"/>
      <c r="H43" s="10"/>
      <c r="I43" s="10"/>
      <c r="J43" s="10"/>
    </row>
    <row r="44" spans="2:10" ht="15" customHeight="1">
      <c r="B44" s="50" t="s">
        <v>9</v>
      </c>
      <c r="C44" s="7" t="s">
        <v>8</v>
      </c>
      <c r="D44" s="6"/>
      <c r="E44" s="32">
        <v>0</v>
      </c>
      <c r="F44" s="32">
        <v>0</v>
      </c>
      <c r="G44" s="10"/>
      <c r="H44" s="10"/>
      <c r="I44" s="10"/>
      <c r="J44" s="10"/>
    </row>
    <row r="45" spans="2:10" ht="6" customHeight="1">
      <c r="B45" s="50"/>
      <c r="C45" s="7"/>
      <c r="D45" s="6"/>
      <c r="E45" s="31"/>
      <c r="F45" s="31"/>
      <c r="G45" s="10"/>
      <c r="H45" s="10"/>
      <c r="I45" s="10"/>
      <c r="J45" s="10"/>
    </row>
    <row r="46" spans="2:10" ht="15" customHeight="1">
      <c r="B46" s="50" t="s">
        <v>11</v>
      </c>
      <c r="C46" s="7" t="s">
        <v>10</v>
      </c>
      <c r="D46" s="6"/>
      <c r="E46" s="32">
        <f>SUM(E47:E47)</f>
        <v>0</v>
      </c>
      <c r="F46" s="32">
        <f>SUM(F47:F47)</f>
        <v>0</v>
      </c>
      <c r="G46" s="10"/>
      <c r="H46" s="10"/>
      <c r="I46" s="10"/>
      <c r="J46" s="10"/>
    </row>
    <row r="47" spans="2:10" ht="6" customHeight="1">
      <c r="B47" s="50"/>
      <c r="C47" s="7"/>
      <c r="D47" s="6"/>
      <c r="E47" s="31"/>
      <c r="F47" s="31"/>
      <c r="G47" s="10"/>
      <c r="H47" s="10"/>
      <c r="I47" s="10"/>
      <c r="J47" s="10"/>
    </row>
    <row r="48" spans="2:10" ht="15" customHeight="1">
      <c r="B48" s="50" t="s">
        <v>81</v>
      </c>
      <c r="C48" s="7" t="s">
        <v>12</v>
      </c>
      <c r="D48" s="6"/>
      <c r="E48" s="149">
        <f>SUM(E49:E50)</f>
        <v>1</v>
      </c>
      <c r="F48" s="149">
        <f>SUM(F50)</f>
        <v>1</v>
      </c>
      <c r="G48" s="10"/>
      <c r="H48" s="10"/>
      <c r="I48" s="10"/>
      <c r="J48" s="10"/>
    </row>
    <row r="49" spans="2:10" ht="6" customHeight="1">
      <c r="B49" s="50"/>
      <c r="C49" s="7"/>
      <c r="D49" s="6"/>
      <c r="E49" s="32"/>
      <c r="F49" s="32"/>
      <c r="G49" s="10"/>
      <c r="H49" s="10"/>
      <c r="I49" s="10"/>
      <c r="J49" s="10"/>
    </row>
    <row r="50" spans="2:10" ht="15" customHeight="1">
      <c r="B50" s="50"/>
      <c r="C50" s="1988" t="s">
        <v>237</v>
      </c>
      <c r="D50" s="1989"/>
      <c r="E50" s="149">
        <v>1</v>
      </c>
      <c r="F50" s="149">
        <v>1</v>
      </c>
      <c r="G50" s="10"/>
      <c r="H50" s="10"/>
      <c r="I50" s="10"/>
      <c r="J50" s="10"/>
    </row>
    <row r="51" spans="2:10" ht="6" customHeight="1">
      <c r="B51" s="63"/>
      <c r="C51" s="26"/>
      <c r="D51" s="27"/>
      <c r="E51" s="407"/>
      <c r="F51" s="407"/>
      <c r="G51" s="10"/>
      <c r="H51" s="10"/>
      <c r="I51" s="10"/>
      <c r="J51" s="10"/>
    </row>
    <row r="52" spans="2:10" ht="6" customHeight="1">
      <c r="B52" s="1"/>
      <c r="C52" s="21"/>
      <c r="D52" s="22"/>
      <c r="E52" s="426"/>
      <c r="F52" s="426"/>
      <c r="G52" s="10"/>
      <c r="H52" s="10"/>
      <c r="I52" s="10"/>
      <c r="J52" s="10"/>
    </row>
    <row r="53" spans="2:10" ht="15.75" customHeight="1">
      <c r="B53" s="88" t="s">
        <v>14</v>
      </c>
      <c r="C53" s="30"/>
      <c r="D53" s="6"/>
      <c r="E53" s="55">
        <f>E61+E63</f>
        <v>0</v>
      </c>
      <c r="F53" s="55">
        <f>F61+F63</f>
        <v>0</v>
      </c>
      <c r="G53" s="10"/>
      <c r="H53" s="10"/>
      <c r="I53" s="10"/>
      <c r="J53" s="10"/>
    </row>
    <row r="54" spans="2:10" ht="6" customHeight="1" hidden="1">
      <c r="B54" s="50"/>
      <c r="C54" s="7"/>
      <c r="D54" s="6"/>
      <c r="E54" s="54"/>
      <c r="F54" s="54"/>
      <c r="G54" s="10"/>
      <c r="H54" s="10"/>
      <c r="I54" s="10"/>
      <c r="J54" s="10"/>
    </row>
    <row r="55" spans="2:10" ht="14.25" hidden="1">
      <c r="B55" s="50" t="s">
        <v>6</v>
      </c>
      <c r="C55" s="7" t="s">
        <v>8</v>
      </c>
      <c r="D55" s="6"/>
      <c r="E55" s="32">
        <v>0</v>
      </c>
      <c r="F55" s="32">
        <v>0</v>
      </c>
      <c r="G55" s="10"/>
      <c r="H55" s="10"/>
      <c r="I55" s="10"/>
      <c r="J55" s="10"/>
    </row>
    <row r="56" spans="2:10" ht="6" customHeight="1" hidden="1">
      <c r="B56" s="50"/>
      <c r="C56" s="7"/>
      <c r="D56" s="6"/>
      <c r="E56" s="31"/>
      <c r="F56" s="31"/>
      <c r="G56" s="10"/>
      <c r="H56" s="10"/>
      <c r="I56" s="10"/>
      <c r="J56" s="10"/>
    </row>
    <row r="57" spans="2:10" ht="14.25" hidden="1">
      <c r="B57" s="50" t="s">
        <v>7</v>
      </c>
      <c r="C57" s="7" t="s">
        <v>10</v>
      </c>
      <c r="D57" s="6"/>
      <c r="E57" s="32">
        <v>0</v>
      </c>
      <c r="F57" s="32">
        <v>0</v>
      </c>
      <c r="G57" s="10"/>
      <c r="H57" s="10"/>
      <c r="I57" s="10"/>
      <c r="J57" s="10"/>
    </row>
    <row r="58" spans="2:10" ht="6" customHeight="1" hidden="1">
      <c r="B58" s="50"/>
      <c r="C58" s="7"/>
      <c r="D58" s="6"/>
      <c r="E58" s="31"/>
      <c r="F58" s="31"/>
      <c r="G58" s="10"/>
      <c r="H58" s="10"/>
      <c r="I58" s="10"/>
      <c r="J58" s="10"/>
    </row>
    <row r="59" spans="2:10" ht="14.25" hidden="1">
      <c r="B59" s="50" t="s">
        <v>9</v>
      </c>
      <c r="C59" s="7" t="s">
        <v>12</v>
      </c>
      <c r="D59" s="6"/>
      <c r="E59" s="32">
        <v>0</v>
      </c>
      <c r="F59" s="32">
        <v>0</v>
      </c>
      <c r="G59" s="10"/>
      <c r="H59" s="10"/>
      <c r="I59" s="10"/>
      <c r="J59" s="10"/>
    </row>
    <row r="60" spans="2:10" ht="6" customHeight="1">
      <c r="B60" s="50"/>
      <c r="C60" s="7"/>
      <c r="D60" s="6"/>
      <c r="E60" s="54"/>
      <c r="F60" s="54"/>
      <c r="G60" s="10"/>
      <c r="H60" s="10"/>
      <c r="I60" s="10"/>
      <c r="J60" s="10"/>
    </row>
    <row r="61" spans="2:10" ht="15" customHeight="1">
      <c r="B61" s="50" t="s">
        <v>6</v>
      </c>
      <c r="C61" s="7" t="s">
        <v>8</v>
      </c>
      <c r="D61" s="6"/>
      <c r="E61" s="32">
        <v>0</v>
      </c>
      <c r="F61" s="32">
        <v>0</v>
      </c>
      <c r="G61" s="10"/>
      <c r="H61" s="10"/>
      <c r="I61" s="10"/>
      <c r="J61" s="10"/>
    </row>
    <row r="62" spans="2:10" ht="6" customHeight="1">
      <c r="B62" s="50"/>
      <c r="C62" s="7"/>
      <c r="D62" s="6"/>
      <c r="E62" s="31"/>
      <c r="F62" s="31"/>
      <c r="G62" s="10"/>
      <c r="H62" s="10"/>
      <c r="I62" s="10"/>
      <c r="J62" s="10"/>
    </row>
    <row r="63" spans="2:10" ht="15" customHeight="1">
      <c r="B63" s="50" t="s">
        <v>7</v>
      </c>
      <c r="C63" s="7" t="s">
        <v>82</v>
      </c>
      <c r="D63" s="6"/>
      <c r="E63" s="32">
        <v>0</v>
      </c>
      <c r="F63" s="32">
        <v>0</v>
      </c>
      <c r="G63" s="10"/>
      <c r="H63" s="10"/>
      <c r="I63" s="10"/>
      <c r="J63" s="10"/>
    </row>
    <row r="64" spans="2:10" ht="6" customHeight="1">
      <c r="B64" s="63"/>
      <c r="C64" s="26"/>
      <c r="D64" s="27"/>
      <c r="E64" s="407"/>
      <c r="F64" s="407"/>
      <c r="G64" s="10"/>
      <c r="H64" s="10"/>
      <c r="I64" s="10"/>
      <c r="J64" s="10"/>
    </row>
    <row r="65" spans="2:10" ht="6" customHeight="1" hidden="1">
      <c r="B65" s="50"/>
      <c r="C65" s="7"/>
      <c r="D65" s="6"/>
      <c r="E65" s="14"/>
      <c r="F65" s="14"/>
      <c r="G65" s="10"/>
      <c r="H65" s="10"/>
      <c r="I65" s="10"/>
      <c r="J65" s="10"/>
    </row>
    <row r="66" spans="2:10" ht="14.25" hidden="1">
      <c r="B66" s="50" t="s">
        <v>6</v>
      </c>
      <c r="C66" s="7" t="s">
        <v>8</v>
      </c>
      <c r="D66" s="6"/>
      <c r="E66" s="32">
        <v>0</v>
      </c>
      <c r="F66" s="32">
        <v>0</v>
      </c>
      <c r="G66" s="10"/>
      <c r="H66" s="10"/>
      <c r="I66" s="10"/>
      <c r="J66" s="10"/>
    </row>
    <row r="67" spans="2:10" ht="6" customHeight="1" hidden="1">
      <c r="B67" s="50"/>
      <c r="C67" s="7"/>
      <c r="D67" s="6"/>
      <c r="E67" s="31"/>
      <c r="F67" s="31"/>
      <c r="G67" s="10"/>
      <c r="H67" s="10"/>
      <c r="I67" s="10"/>
      <c r="J67" s="10"/>
    </row>
    <row r="68" spans="2:10" ht="14.25" hidden="1">
      <c r="B68" s="50" t="s">
        <v>7</v>
      </c>
      <c r="C68" s="7" t="s">
        <v>10</v>
      </c>
      <c r="D68" s="6"/>
      <c r="E68" s="32">
        <v>0</v>
      </c>
      <c r="F68" s="32">
        <v>0</v>
      </c>
      <c r="G68" s="10"/>
      <c r="H68" s="10"/>
      <c r="I68" s="10"/>
      <c r="J68" s="10"/>
    </row>
    <row r="69" spans="2:10" ht="6" customHeight="1" hidden="1">
      <c r="B69" s="50"/>
      <c r="C69" s="7"/>
      <c r="D69" s="6"/>
      <c r="E69" s="31"/>
      <c r="F69" s="31"/>
      <c r="G69" s="10"/>
      <c r="H69" s="10"/>
      <c r="I69" s="10"/>
      <c r="J69" s="10"/>
    </row>
    <row r="70" spans="2:10" ht="14.25" hidden="1">
      <c r="B70" s="50" t="s">
        <v>9</v>
      </c>
      <c r="C70" s="7" t="s">
        <v>12</v>
      </c>
      <c r="D70" s="6"/>
      <c r="E70" s="32">
        <v>0</v>
      </c>
      <c r="F70" s="32">
        <v>0</v>
      </c>
      <c r="G70" s="10"/>
      <c r="H70" s="10"/>
      <c r="I70" s="10"/>
      <c r="J70" s="10"/>
    </row>
    <row r="71" spans="2:10" ht="6" customHeight="1">
      <c r="B71" s="50"/>
      <c r="C71" s="7"/>
      <c r="D71" s="6"/>
      <c r="E71" s="32"/>
      <c r="F71" s="32"/>
      <c r="G71" s="10"/>
      <c r="H71" s="10"/>
      <c r="I71" s="10"/>
      <c r="J71" s="10"/>
    </row>
    <row r="72" spans="2:10" ht="15.75" customHeight="1">
      <c r="B72" s="40"/>
      <c r="C72" s="30" t="s">
        <v>5</v>
      </c>
      <c r="D72" s="6"/>
      <c r="E72" s="16">
        <f>E38+E53</f>
        <v>1</v>
      </c>
      <c r="F72" s="16">
        <f>F38+F53</f>
        <v>1</v>
      </c>
      <c r="G72" s="10"/>
      <c r="H72" s="10"/>
      <c r="I72" s="10"/>
      <c r="J72" s="10"/>
    </row>
    <row r="73" spans="2:10" ht="6" customHeight="1">
      <c r="B73" s="457"/>
      <c r="C73" s="458"/>
      <c r="D73" s="26"/>
      <c r="E73" s="29"/>
      <c r="F73" s="29"/>
      <c r="G73" s="10"/>
      <c r="H73" s="10"/>
      <c r="I73" s="10"/>
      <c r="J73" s="10"/>
    </row>
    <row r="75" ht="12.75">
      <c r="C75" s="390"/>
    </row>
  </sheetData>
  <sheetProtection/>
  <mergeCells count="5">
    <mergeCell ref="B2:D3"/>
    <mergeCell ref="H2:J2"/>
    <mergeCell ref="B36:D36"/>
    <mergeCell ref="E2:G2"/>
    <mergeCell ref="C50:D50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B1:J32"/>
  <sheetViews>
    <sheetView zoomScale="90" zoomScaleNormal="90" zoomScalePageLayoutView="0" workbookViewId="0" topLeftCell="A1">
      <selection activeCell="M4" sqref="M4"/>
    </sheetView>
  </sheetViews>
  <sheetFormatPr defaultColWidth="9.140625" defaultRowHeight="12.75"/>
  <cols>
    <col min="1" max="1" width="4.00390625" style="12" customWidth="1"/>
    <col min="2" max="2" width="3.8515625" style="35" customWidth="1"/>
    <col min="3" max="3" width="9.140625" style="12" customWidth="1"/>
    <col min="4" max="4" width="24.7109375" style="12" customWidth="1"/>
    <col min="5" max="5" width="11.7109375" style="35" customWidth="1"/>
    <col min="6" max="6" width="18.28125" style="35" customWidth="1"/>
    <col min="7" max="7" width="15.421875" style="35" customWidth="1"/>
    <col min="8" max="9" width="11.7109375" style="35" customWidth="1"/>
    <col min="10" max="10" width="11.28125" style="52" bestFit="1" customWidth="1"/>
    <col min="11" max="16384" width="9.140625" style="12" customWidth="1"/>
  </cols>
  <sheetData>
    <row r="1" spans="2:10" s="142" customFormat="1" ht="16.5" customHeight="1">
      <c r="B1" s="147" t="s">
        <v>260</v>
      </c>
      <c r="C1" s="146"/>
      <c r="D1" s="145"/>
      <c r="E1" s="123"/>
      <c r="F1" s="140"/>
      <c r="G1" s="123"/>
      <c r="H1" s="140"/>
      <c r="I1" s="123"/>
      <c r="J1" s="141"/>
    </row>
    <row r="2" spans="2:10" ht="46.5" customHeight="1">
      <c r="B2" s="1990" t="s">
        <v>13</v>
      </c>
      <c r="C2" s="1990"/>
      <c r="D2" s="1990"/>
      <c r="E2" s="193" t="s">
        <v>1</v>
      </c>
      <c r="F2" s="193" t="s">
        <v>83</v>
      </c>
      <c r="G2" s="193" t="s">
        <v>4</v>
      </c>
      <c r="H2" s="106" t="s">
        <v>5</v>
      </c>
      <c r="I2" s="12"/>
      <c r="J2" s="12"/>
    </row>
    <row r="3" spans="2:8" ht="6" customHeight="1">
      <c r="B3" s="861"/>
      <c r="C3" s="179"/>
      <c r="D3" s="179"/>
      <c r="E3" s="114"/>
      <c r="F3" s="862"/>
      <c r="G3" s="114"/>
      <c r="H3" s="863"/>
    </row>
    <row r="4" spans="2:8" s="39" customFormat="1" ht="18.75" customHeight="1">
      <c r="B4" s="118" t="s">
        <v>15</v>
      </c>
      <c r="C4" s="173" t="s">
        <v>16</v>
      </c>
      <c r="D4" s="616"/>
      <c r="E4" s="864">
        <v>1</v>
      </c>
      <c r="F4" s="865">
        <v>0</v>
      </c>
      <c r="G4" s="865">
        <v>0</v>
      </c>
      <c r="H4" s="866">
        <f>SUM(E4:G4)</f>
        <v>1</v>
      </c>
    </row>
    <row r="5" spans="2:8" ht="6" customHeight="1">
      <c r="B5" s="867"/>
      <c r="C5" s="176"/>
      <c r="D5" s="176"/>
      <c r="E5" s="115"/>
      <c r="F5" s="868"/>
      <c r="G5" s="115"/>
      <c r="H5" s="869"/>
    </row>
    <row r="6" spans="2:8" ht="6" customHeight="1">
      <c r="B6" s="861"/>
      <c r="C6" s="179"/>
      <c r="D6" s="180"/>
      <c r="E6" s="870"/>
      <c r="F6" s="871"/>
      <c r="G6" s="870"/>
      <c r="H6" s="872"/>
    </row>
    <row r="7" spans="2:8" s="39" customFormat="1" ht="18.75" customHeight="1">
      <c r="B7" s="118" t="s">
        <v>17</v>
      </c>
      <c r="C7" s="172" t="s">
        <v>18</v>
      </c>
      <c r="D7" s="119"/>
      <c r="E7" s="873">
        <f>SUM(E8:E14)</f>
        <v>0</v>
      </c>
      <c r="F7" s="873">
        <f>SUM(F8:F14)</f>
        <v>0</v>
      </c>
      <c r="G7" s="873">
        <f>SUM(G8:G14)</f>
        <v>0</v>
      </c>
      <c r="H7" s="873">
        <f>SUM(E7:G7)</f>
        <v>0</v>
      </c>
    </row>
    <row r="8" spans="2:8" ht="6" customHeight="1">
      <c r="B8" s="874"/>
      <c r="C8" s="121"/>
      <c r="D8" s="119"/>
      <c r="E8" s="423"/>
      <c r="F8" s="424"/>
      <c r="G8" s="423"/>
      <c r="H8" s="875"/>
    </row>
    <row r="9" spans="2:8" s="39" customFormat="1" ht="15" customHeight="1">
      <c r="B9" s="118"/>
      <c r="C9" s="121" t="s">
        <v>19</v>
      </c>
      <c r="D9" s="119"/>
      <c r="E9" s="876" t="s">
        <v>226</v>
      </c>
      <c r="F9" s="428">
        <v>0</v>
      </c>
      <c r="G9" s="877">
        <v>0</v>
      </c>
      <c r="H9" s="877">
        <f>SUM(E9:G9)</f>
        <v>0</v>
      </c>
    </row>
    <row r="10" spans="2:8" ht="6" customHeight="1">
      <c r="B10" s="874"/>
      <c r="C10" s="121"/>
      <c r="D10" s="119"/>
      <c r="E10" s="423"/>
      <c r="F10" s="424"/>
      <c r="G10" s="423"/>
      <c r="H10" s="878"/>
    </row>
    <row r="11" spans="2:8" s="36" customFormat="1" ht="15" customHeight="1">
      <c r="B11" s="879"/>
      <c r="C11" s="1991" t="s">
        <v>20</v>
      </c>
      <c r="D11" s="1992"/>
      <c r="E11" s="877">
        <v>0</v>
      </c>
      <c r="F11" s="428">
        <v>0</v>
      </c>
      <c r="G11" s="877">
        <v>0</v>
      </c>
      <c r="H11" s="877">
        <f>SUM(E11:G11)</f>
        <v>0</v>
      </c>
    </row>
    <row r="12" spans="2:8" ht="6" customHeight="1">
      <c r="B12" s="874"/>
      <c r="C12" s="121"/>
      <c r="D12" s="119"/>
      <c r="E12" s="423"/>
      <c r="F12" s="149"/>
      <c r="G12" s="423"/>
      <c r="H12" s="878"/>
    </row>
    <row r="13" spans="2:8" s="39" customFormat="1" ht="15" customHeight="1">
      <c r="B13" s="118"/>
      <c r="C13" s="121" t="s">
        <v>21</v>
      </c>
      <c r="D13" s="119"/>
      <c r="E13" s="877">
        <v>0</v>
      </c>
      <c r="F13" s="877">
        <v>0</v>
      </c>
      <c r="G13" s="877">
        <v>0</v>
      </c>
      <c r="H13" s="877">
        <f>SUM(E13:G13)</f>
        <v>0</v>
      </c>
    </row>
    <row r="14" spans="2:8" ht="6" customHeight="1">
      <c r="B14" s="867"/>
      <c r="C14" s="176"/>
      <c r="D14" s="177"/>
      <c r="E14" s="880"/>
      <c r="F14" s="881"/>
      <c r="G14" s="880"/>
      <c r="H14" s="869"/>
    </row>
    <row r="15" spans="2:8" ht="6" customHeight="1">
      <c r="B15" s="874"/>
      <c r="C15" s="121"/>
      <c r="D15" s="119"/>
      <c r="E15" s="149"/>
      <c r="F15" s="149"/>
      <c r="G15" s="149"/>
      <c r="H15" s="875"/>
    </row>
    <row r="16" spans="2:8" s="39" customFormat="1" ht="18.75" customHeight="1">
      <c r="B16" s="118" t="s">
        <v>22</v>
      </c>
      <c r="C16" s="172" t="s">
        <v>23</v>
      </c>
      <c r="D16" s="119"/>
      <c r="E16" s="873">
        <f>SUM(E17:E27)</f>
        <v>0</v>
      </c>
      <c r="F16" s="873">
        <f>SUM(F17:F27)</f>
        <v>0</v>
      </c>
      <c r="G16" s="873">
        <f>SUM(G17:G27)</f>
        <v>0</v>
      </c>
      <c r="H16" s="873">
        <f>SUM(E16:G16)</f>
        <v>0</v>
      </c>
    </row>
    <row r="17" spans="2:8" ht="6" customHeight="1">
      <c r="B17" s="874"/>
      <c r="C17" s="121"/>
      <c r="D17" s="119"/>
      <c r="E17" s="170"/>
      <c r="F17" s="170"/>
      <c r="G17" s="170"/>
      <c r="H17" s="875"/>
    </row>
    <row r="18" spans="2:10" s="39" customFormat="1" ht="15" customHeight="1">
      <c r="B18" s="118"/>
      <c r="C18" s="121" t="s">
        <v>24</v>
      </c>
      <c r="D18" s="119"/>
      <c r="E18" s="877">
        <v>0</v>
      </c>
      <c r="F18" s="877">
        <v>0</v>
      </c>
      <c r="G18" s="877">
        <v>0</v>
      </c>
      <c r="H18" s="877">
        <f>SUM(E18:G18)</f>
        <v>0</v>
      </c>
      <c r="J18" s="82"/>
    </row>
    <row r="19" spans="2:8" s="10" customFormat="1" ht="6" customHeight="1">
      <c r="B19" s="118"/>
      <c r="C19" s="121"/>
      <c r="D19" s="119"/>
      <c r="E19" s="170"/>
      <c r="F19" s="170"/>
      <c r="G19" s="170"/>
      <c r="H19" s="423"/>
    </row>
    <row r="20" spans="2:10" s="39" customFormat="1" ht="15" customHeight="1">
      <c r="B20" s="118"/>
      <c r="C20" s="121" t="s">
        <v>25</v>
      </c>
      <c r="D20" s="119"/>
      <c r="E20" s="877">
        <v>0</v>
      </c>
      <c r="F20" s="877">
        <v>0</v>
      </c>
      <c r="G20" s="877">
        <v>0</v>
      </c>
      <c r="H20" s="877">
        <f>SUM(E20:G20)</f>
        <v>0</v>
      </c>
      <c r="J20" s="39" t="s">
        <v>577</v>
      </c>
    </row>
    <row r="21" spans="2:8" s="10" customFormat="1" ht="6" customHeight="1">
      <c r="B21" s="118"/>
      <c r="C21" s="121"/>
      <c r="D21" s="119"/>
      <c r="E21" s="170"/>
      <c r="F21" s="170"/>
      <c r="G21" s="170"/>
      <c r="H21" s="423"/>
    </row>
    <row r="22" spans="2:8" s="36" customFormat="1" ht="15" customHeight="1">
      <c r="B22" s="879"/>
      <c r="C22" s="1991" t="s">
        <v>26</v>
      </c>
      <c r="D22" s="1992"/>
      <c r="E22" s="877">
        <v>0</v>
      </c>
      <c r="F22" s="877">
        <v>0</v>
      </c>
      <c r="G22" s="877">
        <v>0</v>
      </c>
      <c r="H22" s="877">
        <f>SUM(E22:G22)</f>
        <v>0</v>
      </c>
    </row>
    <row r="23" spans="2:8" s="10" customFormat="1" ht="6" customHeight="1">
      <c r="B23" s="118"/>
      <c r="C23" s="121"/>
      <c r="D23" s="119"/>
      <c r="E23" s="170"/>
      <c r="F23" s="170"/>
      <c r="G23" s="170"/>
      <c r="H23" s="423"/>
    </row>
    <row r="24" spans="2:8" s="39" customFormat="1" ht="15" customHeight="1">
      <c r="B24" s="118"/>
      <c r="C24" s="1991" t="s">
        <v>84</v>
      </c>
      <c r="D24" s="1992"/>
      <c r="E24" s="877">
        <v>0</v>
      </c>
      <c r="F24" s="877">
        <v>0</v>
      </c>
      <c r="G24" s="877">
        <v>0</v>
      </c>
      <c r="H24" s="877">
        <f>SUM(E24:G24)</f>
        <v>0</v>
      </c>
    </row>
    <row r="25" spans="2:8" s="10" customFormat="1" ht="6" customHeight="1">
      <c r="B25" s="118"/>
      <c r="C25" s="121"/>
      <c r="D25" s="119"/>
      <c r="E25" s="170"/>
      <c r="F25" s="877"/>
      <c r="G25" s="877"/>
      <c r="H25" s="423"/>
    </row>
    <row r="26" spans="2:8" s="39" customFormat="1" ht="15" customHeight="1">
      <c r="B26" s="118"/>
      <c r="C26" s="121" t="s">
        <v>85</v>
      </c>
      <c r="D26" s="119"/>
      <c r="E26" s="877">
        <v>0</v>
      </c>
      <c r="F26" s="877">
        <v>0</v>
      </c>
      <c r="G26" s="877">
        <v>0</v>
      </c>
      <c r="H26" s="877">
        <f>SUM(E26:G26)</f>
        <v>0</v>
      </c>
    </row>
    <row r="27" spans="2:8" ht="6" customHeight="1">
      <c r="B27" s="867"/>
      <c r="C27" s="176"/>
      <c r="D27" s="177"/>
      <c r="E27" s="881"/>
      <c r="F27" s="881"/>
      <c r="G27" s="881"/>
      <c r="H27" s="869"/>
    </row>
    <row r="28" spans="2:8" ht="6" customHeight="1">
      <c r="B28" s="861"/>
      <c r="C28" s="179"/>
      <c r="D28" s="179"/>
      <c r="E28" s="114"/>
      <c r="F28" s="114"/>
      <c r="G28" s="114"/>
      <c r="H28" s="872"/>
    </row>
    <row r="29" spans="2:8" s="39" customFormat="1" ht="18.75" customHeight="1">
      <c r="B29" s="118" t="s">
        <v>27</v>
      </c>
      <c r="C29" s="173" t="s">
        <v>28</v>
      </c>
      <c r="D29" s="616"/>
      <c r="E29" s="864">
        <f>E4+E7+E16</f>
        <v>1</v>
      </c>
      <c r="F29" s="865">
        <f>F4+F7+F16</f>
        <v>0</v>
      </c>
      <c r="G29" s="865">
        <f>G4+G7+G16</f>
        <v>0</v>
      </c>
      <c r="H29" s="866">
        <f>SUM(E29:G29)</f>
        <v>1</v>
      </c>
    </row>
    <row r="30" spans="2:8" ht="6" customHeight="1">
      <c r="B30" s="867"/>
      <c r="C30" s="176"/>
      <c r="D30" s="176"/>
      <c r="E30" s="115"/>
      <c r="F30" s="882"/>
      <c r="G30" s="115"/>
      <c r="H30" s="883"/>
    </row>
    <row r="32" ht="15">
      <c r="C32" s="142"/>
    </row>
  </sheetData>
  <sheetProtection/>
  <mergeCells count="4">
    <mergeCell ref="B2:D2"/>
    <mergeCell ref="C11:D11"/>
    <mergeCell ref="C22:D22"/>
    <mergeCell ref="C24:D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145"/>
  <sheetViews>
    <sheetView zoomScale="90" zoomScaleNormal="90" zoomScalePageLayoutView="0" workbookViewId="0" topLeftCell="A1">
      <pane xSplit="4" ySplit="3" topLeftCell="E4" activePane="bottomRight" state="frozen"/>
      <selection pane="topLeft" activeCell="M216" sqref="M216"/>
      <selection pane="topRight" activeCell="M216" sqref="M216"/>
      <selection pane="bottomLeft" activeCell="M216" sqref="M216"/>
      <selection pane="bottomRight" activeCell="G11" sqref="G11"/>
    </sheetView>
  </sheetViews>
  <sheetFormatPr defaultColWidth="9.140625" defaultRowHeight="12.75"/>
  <cols>
    <col min="1" max="1" width="5.28125" style="446" customWidth="1"/>
    <col min="2" max="2" width="3.8515625" style="446" customWidth="1"/>
    <col min="3" max="3" width="9.140625" style="446" customWidth="1"/>
    <col min="4" max="4" width="28.7109375" style="446" customWidth="1"/>
    <col min="5" max="10" width="13.7109375" style="446" customWidth="1"/>
    <col min="11" max="12" width="9.140625" style="446" customWidth="1"/>
    <col min="13" max="13" width="17.28125" style="446" bestFit="1" customWidth="1"/>
    <col min="14" max="14" width="7.421875" style="446" customWidth="1"/>
    <col min="15" max="15" width="9.140625" style="446" customWidth="1"/>
    <col min="16" max="16" width="21.7109375" style="446" customWidth="1"/>
    <col min="17" max="17" width="16.7109375" style="446" customWidth="1"/>
    <col min="18" max="16384" width="9.140625" style="446" customWidth="1"/>
  </cols>
  <sheetData>
    <row r="1" spans="1:10" ht="16.5" customHeight="1">
      <c r="A1" s="10"/>
      <c r="B1" s="148" t="s">
        <v>241</v>
      </c>
      <c r="C1" s="385"/>
      <c r="D1" s="385"/>
      <c r="E1" s="10"/>
      <c r="F1" s="10"/>
      <c r="G1" s="10"/>
      <c r="H1" s="10"/>
      <c r="I1" s="10"/>
      <c r="J1" s="10"/>
    </row>
    <row r="2" spans="1:10" ht="22.5" customHeight="1">
      <c r="A2" s="10"/>
      <c r="B2" s="1980" t="s">
        <v>63</v>
      </c>
      <c r="C2" s="1981"/>
      <c r="D2" s="1982"/>
      <c r="E2" s="1986">
        <v>42735</v>
      </c>
      <c r="F2" s="1986"/>
      <c r="G2" s="1987"/>
      <c r="H2" s="1996">
        <v>42369</v>
      </c>
      <c r="I2" s="1997"/>
      <c r="J2" s="1998"/>
    </row>
    <row r="3" spans="1:10" ht="22.5" customHeight="1">
      <c r="A3" s="10"/>
      <c r="B3" s="1983"/>
      <c r="C3" s="1984"/>
      <c r="D3" s="1985"/>
      <c r="E3" s="11" t="s">
        <v>72</v>
      </c>
      <c r="F3" s="11" t="s">
        <v>73</v>
      </c>
      <c r="G3" s="11" t="s">
        <v>74</v>
      </c>
      <c r="H3" s="11" t="s">
        <v>72</v>
      </c>
      <c r="I3" s="11" t="s">
        <v>73</v>
      </c>
      <c r="J3" s="11" t="s">
        <v>74</v>
      </c>
    </row>
    <row r="4" spans="1:10" ht="6" customHeight="1">
      <c r="A4" s="10"/>
      <c r="B4" s="1"/>
      <c r="C4" s="2"/>
      <c r="D4" s="3"/>
      <c r="E4" s="23"/>
      <c r="F4" s="23"/>
      <c r="G4" s="23"/>
      <c r="H4" s="23"/>
      <c r="I4" s="23"/>
      <c r="J4" s="23"/>
    </row>
    <row r="5" spans="1:10" ht="15.75" customHeight="1">
      <c r="A5" s="10"/>
      <c r="B5" s="50" t="s">
        <v>0</v>
      </c>
      <c r="C5" s="5" t="s">
        <v>1</v>
      </c>
      <c r="D5" s="6"/>
      <c r="E5" s="17">
        <f aca="true" t="shared" si="0" ref="E5:J5">E7+E9</f>
        <v>0</v>
      </c>
      <c r="F5" s="17">
        <f t="shared" si="0"/>
        <v>0</v>
      </c>
      <c r="G5" s="16">
        <f>G7+G9</f>
        <v>1164965</v>
      </c>
      <c r="H5" s="17">
        <f>H7+H9</f>
        <v>0</v>
      </c>
      <c r="I5" s="17">
        <f t="shared" si="0"/>
        <v>0</v>
      </c>
      <c r="J5" s="16">
        <f t="shared" si="0"/>
        <v>700000</v>
      </c>
    </row>
    <row r="6" spans="1:10" ht="6" customHeight="1">
      <c r="A6" s="10"/>
      <c r="B6" s="50"/>
      <c r="C6" s="7"/>
      <c r="D6" s="6"/>
      <c r="E6" s="54"/>
      <c r="F6" s="54"/>
      <c r="G6" s="416"/>
      <c r="H6" s="54"/>
      <c r="I6" s="55"/>
      <c r="J6" s="416"/>
    </row>
    <row r="7" spans="1:10" ht="15.75" customHeight="1">
      <c r="A7" s="10"/>
      <c r="B7" s="50"/>
      <c r="C7" s="60" t="s">
        <v>68</v>
      </c>
      <c r="D7" s="6"/>
      <c r="E7" s="54"/>
      <c r="F7" s="54"/>
      <c r="G7" s="54"/>
      <c r="H7" s="54"/>
      <c r="I7" s="54"/>
      <c r="J7" s="54"/>
    </row>
    <row r="8" spans="1:10" ht="6" customHeight="1">
      <c r="A8" s="10"/>
      <c r="B8" s="50"/>
      <c r="C8" s="7"/>
      <c r="D8" s="6"/>
      <c r="E8" s="54"/>
      <c r="F8" s="54"/>
      <c r="G8" s="54"/>
      <c r="H8" s="54"/>
      <c r="I8" s="54"/>
      <c r="J8" s="54"/>
    </row>
    <row r="9" spans="1:10" ht="15.75" customHeight="1">
      <c r="A9" s="10"/>
      <c r="B9" s="50"/>
      <c r="C9" s="60" t="s">
        <v>69</v>
      </c>
      <c r="D9" s="6"/>
      <c r="E9" s="55">
        <f>+E11</f>
        <v>0</v>
      </c>
      <c r="F9" s="55">
        <f>+F11</f>
        <v>0</v>
      </c>
      <c r="G9" s="54">
        <f>+G11+G13</f>
        <v>1164965</v>
      </c>
      <c r="H9" s="55">
        <f>+H11</f>
        <v>0</v>
      </c>
      <c r="I9" s="55">
        <f>+I11</f>
        <v>0</v>
      </c>
      <c r="J9" s="54">
        <f>+J11+J13</f>
        <v>700000</v>
      </c>
    </row>
    <row r="10" spans="1:10" ht="6" customHeight="1">
      <c r="A10" s="10"/>
      <c r="B10" s="50"/>
      <c r="C10" s="60"/>
      <c r="D10" s="6"/>
      <c r="E10" s="54"/>
      <c r="F10" s="54"/>
      <c r="G10" s="54"/>
      <c r="H10" s="54"/>
      <c r="I10" s="54"/>
      <c r="J10" s="54"/>
    </row>
    <row r="11" spans="1:10" ht="15.75" customHeight="1">
      <c r="A11" s="10"/>
      <c r="B11" s="50"/>
      <c r="C11" s="60" t="s">
        <v>390</v>
      </c>
      <c r="D11" s="6"/>
      <c r="E11" s="54"/>
      <c r="F11" s="54"/>
      <c r="G11" s="54">
        <f>700000+'A.4.5.1'!M13</f>
        <v>714115</v>
      </c>
      <c r="H11" s="54"/>
      <c r="I11" s="54"/>
      <c r="J11" s="54">
        <f>700000+'A.4.5.1'!P13</f>
        <v>700000</v>
      </c>
    </row>
    <row r="12" spans="1:10" ht="11.25" customHeight="1">
      <c r="A12" s="10"/>
      <c r="B12" s="50"/>
      <c r="C12" s="7"/>
      <c r="D12" s="6"/>
      <c r="E12" s="54"/>
      <c r="F12" s="55"/>
      <c r="G12" s="416"/>
      <c r="H12" s="54"/>
      <c r="I12" s="55"/>
      <c r="J12" s="416"/>
    </row>
    <row r="13" spans="1:10" ht="22.5" customHeight="1">
      <c r="A13" s="10"/>
      <c r="B13" s="50"/>
      <c r="C13" s="10" t="s">
        <v>610</v>
      </c>
      <c r="D13" s="6"/>
      <c r="E13" s="54"/>
      <c r="F13" s="55"/>
      <c r="G13" s="54">
        <f>+'A.4.5.1'!M11+'A.4.5.1'!M12</f>
        <v>450850</v>
      </c>
      <c r="H13" s="54"/>
      <c r="I13" s="55"/>
      <c r="J13" s="54">
        <f>+'A.4.5.1'!P11+'A.4.5.1'!P12</f>
        <v>0</v>
      </c>
    </row>
    <row r="14" spans="1:10" ht="16.5" customHeight="1">
      <c r="A14" s="10"/>
      <c r="B14" s="50"/>
      <c r="C14" s="7"/>
      <c r="D14" s="6"/>
      <c r="E14" s="54"/>
      <c r="F14" s="55"/>
      <c r="G14" s="416"/>
      <c r="H14" s="54"/>
      <c r="I14" s="55"/>
      <c r="J14" s="416"/>
    </row>
    <row r="15" spans="1:10" ht="15.75" customHeight="1">
      <c r="A15" s="10"/>
      <c r="B15" s="50" t="s">
        <v>2</v>
      </c>
      <c r="C15" s="7" t="s">
        <v>70</v>
      </c>
      <c r="D15" s="6"/>
      <c r="E15" s="16" t="e">
        <f aca="true" t="shared" si="1" ref="E15:J15">SUM(E16:E55)</f>
        <v>#REF!</v>
      </c>
      <c r="F15" s="17">
        <f t="shared" si="1"/>
        <v>0</v>
      </c>
      <c r="G15" s="16">
        <f t="shared" si="1"/>
        <v>12297051.520000001</v>
      </c>
      <c r="H15" s="16" t="e">
        <f t="shared" si="1"/>
        <v>#REF!</v>
      </c>
      <c r="I15" s="17">
        <f t="shared" si="1"/>
        <v>0</v>
      </c>
      <c r="J15" s="16">
        <f t="shared" si="1"/>
        <v>14105679.720000003</v>
      </c>
    </row>
    <row r="16" spans="1:10" ht="6" customHeight="1">
      <c r="A16" s="10"/>
      <c r="B16" s="50"/>
      <c r="C16" s="7"/>
      <c r="D16" s="6"/>
      <c r="E16" s="54"/>
      <c r="F16" s="55"/>
      <c r="G16" s="416"/>
      <c r="H16" s="54"/>
      <c r="I16" s="55"/>
      <c r="J16" s="416"/>
    </row>
    <row r="17" spans="1:10" ht="15.75" customHeight="1">
      <c r="A17" s="10"/>
      <c r="B17" s="50"/>
      <c r="C17" s="121" t="s">
        <v>435</v>
      </c>
      <c r="D17" s="119"/>
      <c r="E17" s="149"/>
      <c r="F17" s="149"/>
      <c r="G17" s="149">
        <v>3061060.4</v>
      </c>
      <c r="H17" s="149"/>
      <c r="I17" s="149"/>
      <c r="J17" s="149">
        <v>2762191.6</v>
      </c>
    </row>
    <row r="18" spans="1:10" s="449" customFormat="1" ht="6" customHeight="1">
      <c r="A18" s="390"/>
      <c r="B18" s="118"/>
      <c r="C18" s="121"/>
      <c r="D18" s="119"/>
      <c r="E18" s="149"/>
      <c r="F18" s="149"/>
      <c r="G18" s="149"/>
      <c r="H18" s="149"/>
      <c r="I18" s="149"/>
      <c r="J18" s="428"/>
    </row>
    <row r="19" spans="1:10" ht="15.75" customHeight="1">
      <c r="A19" s="10"/>
      <c r="B19" s="50"/>
      <c r="C19" s="59" t="s">
        <v>213</v>
      </c>
      <c r="D19" s="6"/>
      <c r="E19" s="54"/>
      <c r="F19" s="54"/>
      <c r="G19" s="416"/>
      <c r="H19" s="54"/>
      <c r="I19" s="54"/>
      <c r="J19" s="416"/>
    </row>
    <row r="20" spans="1:10" ht="6" customHeight="1">
      <c r="A20" s="10"/>
      <c r="B20" s="50"/>
      <c r="C20" s="7"/>
      <c r="D20" s="6"/>
      <c r="E20" s="54"/>
      <c r="F20" s="54"/>
      <c r="G20" s="416"/>
      <c r="H20" s="54"/>
      <c r="I20" s="54"/>
      <c r="J20" s="416"/>
    </row>
    <row r="21" spans="1:13" ht="15.75" customHeight="1">
      <c r="A21" s="10"/>
      <c r="B21" s="50"/>
      <c r="C21" s="161" t="str">
        <f>Riepilogo!D12</f>
        <v>Develon S.r.l.</v>
      </c>
      <c r="D21" s="6"/>
      <c r="E21" s="54"/>
      <c r="F21" s="54"/>
      <c r="G21" s="54" t="s">
        <v>226</v>
      </c>
      <c r="H21" s="54"/>
      <c r="I21" s="54"/>
      <c r="J21" s="54">
        <f>Riepilogo!AC12</f>
        <v>2000000.0000000002</v>
      </c>
      <c r="L21" s="589"/>
      <c r="M21" s="589"/>
    </row>
    <row r="22" spans="1:13" ht="6" customHeight="1">
      <c r="A22" s="10"/>
      <c r="B22" s="50"/>
      <c r="C22" s="7"/>
      <c r="D22" s="6"/>
      <c r="E22" s="54"/>
      <c r="F22" s="54"/>
      <c r="G22" s="416"/>
      <c r="H22" s="54"/>
      <c r="I22" s="54"/>
      <c r="J22" s="416"/>
      <c r="L22" s="449"/>
      <c r="M22" s="449"/>
    </row>
    <row r="23" spans="1:13" ht="15.75" customHeight="1">
      <c r="A23" s="10"/>
      <c r="B23" s="50"/>
      <c r="C23" s="161" t="str">
        <f>Riepilogo!D34</f>
        <v>H-Farm S.p.A.</v>
      </c>
      <c r="D23" s="6"/>
      <c r="E23" s="149">
        <f>Riepilogo!AM34</f>
        <v>1353922.5</v>
      </c>
      <c r="F23" s="149"/>
      <c r="G23" s="149"/>
      <c r="H23" s="54">
        <f>Riepilogo!AC34</f>
        <v>1204875</v>
      </c>
      <c r="I23" s="54"/>
      <c r="J23" s="54"/>
      <c r="L23" s="449"/>
      <c r="M23" s="449"/>
    </row>
    <row r="24" spans="1:13" ht="6" customHeight="1">
      <c r="A24" s="10"/>
      <c r="B24" s="50"/>
      <c r="C24" s="7"/>
      <c r="D24" s="6"/>
      <c r="E24" s="149"/>
      <c r="F24" s="149"/>
      <c r="G24" s="424"/>
      <c r="H24" s="54"/>
      <c r="I24" s="54"/>
      <c r="J24" s="416"/>
      <c r="L24" s="449"/>
      <c r="M24" s="449"/>
    </row>
    <row r="25" spans="1:13" ht="15.75" customHeight="1">
      <c r="A25" s="10"/>
      <c r="B25" s="50"/>
      <c r="C25" s="161" t="str">
        <f>Riepilogo!D36</f>
        <v>WearIT S.r.l.</v>
      </c>
      <c r="D25" s="6"/>
      <c r="E25" s="149"/>
      <c r="F25" s="149"/>
      <c r="G25" s="149">
        <f>Riepilogo!AM36</f>
        <v>1</v>
      </c>
      <c r="H25" s="54"/>
      <c r="I25" s="54"/>
      <c r="J25" s="54">
        <f>Riepilogo!AC36</f>
        <v>1</v>
      </c>
      <c r="L25" s="449"/>
      <c r="M25" s="449"/>
    </row>
    <row r="26" spans="1:13" ht="6" customHeight="1">
      <c r="A26" s="10"/>
      <c r="B26" s="50"/>
      <c r="C26" s="7"/>
      <c r="D26" s="6"/>
      <c r="E26" s="149"/>
      <c r="F26" s="149"/>
      <c r="G26" s="424"/>
      <c r="H26" s="54"/>
      <c r="I26" s="54"/>
      <c r="J26" s="416"/>
      <c r="L26" s="449"/>
      <c r="M26" s="449"/>
    </row>
    <row r="27" spans="1:10" ht="15.75" customHeight="1">
      <c r="A27" s="10"/>
      <c r="B27" s="50"/>
      <c r="C27" s="59" t="s">
        <v>29</v>
      </c>
      <c r="D27" s="6"/>
      <c r="E27" s="149"/>
      <c r="F27" s="149"/>
      <c r="G27" s="424"/>
      <c r="H27" s="54"/>
      <c r="I27" s="54"/>
      <c r="J27" s="416"/>
    </row>
    <row r="28" spans="1:10" ht="6" customHeight="1">
      <c r="A28" s="10"/>
      <c r="B28" s="50"/>
      <c r="C28" s="7"/>
      <c r="D28" s="6"/>
      <c r="E28" s="149"/>
      <c r="F28" s="149"/>
      <c r="G28" s="424"/>
      <c r="H28" s="54"/>
      <c r="I28" s="54"/>
      <c r="J28" s="416"/>
    </row>
    <row r="29" spans="1:10" ht="15.75" customHeight="1">
      <c r="A29" s="10"/>
      <c r="B29" s="50"/>
      <c r="C29" s="7" t="str">
        <f>Riepilogo!D73</f>
        <v>Aeroporto di Treviso S.p.A. </v>
      </c>
      <c r="D29" s="6"/>
      <c r="E29" s="149"/>
      <c r="F29" s="149"/>
      <c r="G29" s="149">
        <f>Riepilogo!AM73</f>
        <v>1339500</v>
      </c>
      <c r="H29" s="54"/>
      <c r="I29" s="54"/>
      <c r="J29" s="54">
        <f>Riepilogo!AC73</f>
        <v>1339500</v>
      </c>
    </row>
    <row r="30" spans="1:10" ht="6" customHeight="1">
      <c r="A30" s="10"/>
      <c r="B30" s="50"/>
      <c r="C30" s="7"/>
      <c r="D30" s="6"/>
      <c r="E30" s="149"/>
      <c r="F30" s="149"/>
      <c r="G30" s="424"/>
      <c r="H30" s="54"/>
      <c r="I30" s="54"/>
      <c r="J30" s="416"/>
    </row>
    <row r="31" spans="1:10" ht="30.75" customHeight="1">
      <c r="A31" s="10"/>
      <c r="B31" s="50"/>
      <c r="C31" s="1969" t="str">
        <f>Riepilogo!D75</f>
        <v>Aeroporto Valerio Catullo di Verona Villafranca S.p.A.</v>
      </c>
      <c r="D31" s="1970"/>
      <c r="E31" s="149"/>
      <c r="F31" s="149"/>
      <c r="G31" s="149">
        <f>Riepilogo!AM75</f>
        <v>103173.35</v>
      </c>
      <c r="H31" s="54"/>
      <c r="I31" s="54"/>
      <c r="J31" s="54">
        <f>Riepilogo!AC75</f>
        <v>103173.35</v>
      </c>
    </row>
    <row r="32" spans="1:10" ht="6" customHeight="1">
      <c r="A32" s="10"/>
      <c r="B32" s="50"/>
      <c r="C32" s="7"/>
      <c r="D32" s="6"/>
      <c r="E32" s="149"/>
      <c r="F32" s="149"/>
      <c r="G32" s="424"/>
      <c r="H32" s="54"/>
      <c r="I32" s="54"/>
      <c r="J32" s="416"/>
    </row>
    <row r="33" spans="1:10" ht="15.75" customHeight="1">
      <c r="A33" s="10"/>
      <c r="B33" s="50"/>
      <c r="C33" s="7" t="str">
        <f>Riepilogo!D77</f>
        <v>Alpi Eagles S.p.A.</v>
      </c>
      <c r="D33" s="6"/>
      <c r="E33" s="149"/>
      <c r="F33" s="149"/>
      <c r="G33" s="149">
        <f>Riepilogo!AM77</f>
        <v>1</v>
      </c>
      <c r="H33" s="54"/>
      <c r="I33" s="54"/>
      <c r="J33" s="54">
        <f>Riepilogo!AC77</f>
        <v>1</v>
      </c>
    </row>
    <row r="34" spans="1:10" ht="6" customHeight="1">
      <c r="A34" s="10"/>
      <c r="B34" s="50"/>
      <c r="C34" s="7"/>
      <c r="D34" s="6"/>
      <c r="E34" s="149"/>
      <c r="F34" s="149"/>
      <c r="G34" s="424"/>
      <c r="H34" s="54"/>
      <c r="I34" s="54"/>
      <c r="J34" s="416"/>
    </row>
    <row r="35" spans="1:10" ht="15.75" customHeight="1">
      <c r="A35" s="10"/>
      <c r="B35" s="50"/>
      <c r="C35" s="1993" t="str">
        <f>Riepilogo!D79</f>
        <v>Attiva S.p.A. in liquidazione </v>
      </c>
      <c r="D35" s="1994"/>
      <c r="E35" s="149"/>
      <c r="F35" s="149"/>
      <c r="G35" s="149">
        <f>Riepilogo!AM79</f>
        <v>1.0000000009313226</v>
      </c>
      <c r="H35" s="54"/>
      <c r="I35" s="54"/>
      <c r="J35" s="54">
        <f>Riepilogo!AC79</f>
        <v>1.0000000009313226</v>
      </c>
    </row>
    <row r="36" spans="1:10" ht="6" customHeight="1">
      <c r="A36" s="10"/>
      <c r="B36" s="50"/>
      <c r="C36" s="7"/>
      <c r="D36" s="6"/>
      <c r="E36" s="149"/>
      <c r="F36" s="149"/>
      <c r="G36" s="424"/>
      <c r="H36" s="54"/>
      <c r="I36" s="54"/>
      <c r="J36" s="416"/>
    </row>
    <row r="37" spans="1:10" ht="15.75" customHeight="1">
      <c r="A37" s="10"/>
      <c r="B37" s="50"/>
      <c r="C37" s="1969" t="str">
        <f>Riepilogo!D81</f>
        <v>Autodromo del Veneto S.p.A.</v>
      </c>
      <c r="D37" s="1970"/>
      <c r="E37" s="149"/>
      <c r="F37" s="149"/>
      <c r="G37" s="149">
        <f>Riepilogo!AM81</f>
        <v>1</v>
      </c>
      <c r="H37" s="54"/>
      <c r="I37" s="54"/>
      <c r="J37" s="54">
        <f>Riepilogo!AC81</f>
        <v>107500</v>
      </c>
    </row>
    <row r="38" spans="1:10" ht="6" customHeight="1">
      <c r="A38" s="10"/>
      <c r="B38" s="50"/>
      <c r="C38" s="7"/>
      <c r="D38" s="6"/>
      <c r="E38" s="149"/>
      <c r="F38" s="149"/>
      <c r="G38" s="424"/>
      <c r="H38" s="54"/>
      <c r="I38" s="54"/>
      <c r="J38" s="416"/>
    </row>
    <row r="39" spans="1:10" ht="30.75" customHeight="1">
      <c r="A39" s="10"/>
      <c r="B39" s="50"/>
      <c r="C39" s="1969" t="str">
        <f>Riepilogo!D83</f>
        <v>Banca Popolare Etica soc. coop. per azioni</v>
      </c>
      <c r="D39" s="1970"/>
      <c r="E39" s="149"/>
      <c r="F39" s="149"/>
      <c r="G39" s="149">
        <f>Riepilogo!AM83</f>
        <v>39500</v>
      </c>
      <c r="H39" s="54"/>
      <c r="I39" s="54"/>
      <c r="J39" s="54">
        <f>Riepilogo!AC83</f>
        <v>39500</v>
      </c>
    </row>
    <row r="40" spans="1:10" ht="6" customHeight="1">
      <c r="A40" s="10"/>
      <c r="B40" s="50"/>
      <c r="C40" s="7"/>
      <c r="D40" s="6"/>
      <c r="E40" s="149"/>
      <c r="F40" s="149"/>
      <c r="G40" s="424"/>
      <c r="H40" s="54"/>
      <c r="I40" s="54"/>
      <c r="J40" s="416"/>
    </row>
    <row r="41" spans="1:10" ht="15.75" customHeight="1">
      <c r="A41" s="10"/>
      <c r="B41" s="50"/>
      <c r="C41" s="1993" t="str">
        <f>Riepilogo!D85</f>
        <v>Bic Adriatico s.c. a r.l. in fallimento</v>
      </c>
      <c r="D41" s="1994"/>
      <c r="E41" s="149"/>
      <c r="F41" s="149"/>
      <c r="G41" s="149">
        <f>Riepilogo!AM85</f>
        <v>1</v>
      </c>
      <c r="H41" s="54"/>
      <c r="I41" s="54"/>
      <c r="J41" s="54">
        <f>Riepilogo!AC85</f>
        <v>1</v>
      </c>
    </row>
    <row r="42" spans="1:10" ht="6" customHeight="1">
      <c r="A42" s="10"/>
      <c r="B42" s="50"/>
      <c r="C42" s="7"/>
      <c r="D42" s="6"/>
      <c r="E42" s="149"/>
      <c r="F42" s="149"/>
      <c r="G42" s="424"/>
      <c r="H42" s="54"/>
      <c r="I42" s="54"/>
      <c r="J42" s="416"/>
    </row>
    <row r="43" spans="1:10" ht="30.75" customHeight="1">
      <c r="A43" s="10"/>
      <c r="B43" s="50"/>
      <c r="C43" s="1969" t="str">
        <f>Riepilogo!D87</f>
        <v>Compagnia Investimenti e Sviluppo - C.I.S. S.p.A.</v>
      </c>
      <c r="D43" s="1970"/>
      <c r="E43" s="149"/>
      <c r="F43" s="149"/>
      <c r="G43" s="149">
        <f>Riepilogo!AM87</f>
        <v>1.0000000009313226</v>
      </c>
      <c r="H43" s="54"/>
      <c r="I43" s="54"/>
      <c r="J43" s="54">
        <f>Riepilogo!AC87</f>
        <v>1.0000000009313226</v>
      </c>
    </row>
    <row r="44" spans="1:10" ht="6" customHeight="1">
      <c r="A44" s="10"/>
      <c r="B44" s="50"/>
      <c r="C44" s="7"/>
      <c r="D44" s="6"/>
      <c r="E44" s="149"/>
      <c r="F44" s="149"/>
      <c r="G44" s="424"/>
      <c r="H44" s="54"/>
      <c r="I44" s="54"/>
      <c r="J44" s="416"/>
    </row>
    <row r="45" spans="1:10" ht="15.75" customHeight="1">
      <c r="A45" s="10"/>
      <c r="B45" s="50"/>
      <c r="C45" s="1993" t="str">
        <f>Riepilogo!D89</f>
        <v>Expo Venice S.p.A.</v>
      </c>
      <c r="D45" s="1994"/>
      <c r="E45" s="149"/>
      <c r="F45" s="149"/>
      <c r="G45" s="149">
        <f>Riepilogo!AM89</f>
        <v>1</v>
      </c>
      <c r="H45" s="54"/>
      <c r="I45" s="54"/>
      <c r="J45" s="54">
        <f>Riepilogo!AC89</f>
        <v>1</v>
      </c>
    </row>
    <row r="46" spans="1:10" ht="6" customHeight="1">
      <c r="A46" s="10"/>
      <c r="B46" s="50"/>
      <c r="C46" s="7"/>
      <c r="D46" s="6"/>
      <c r="E46" s="149"/>
      <c r="F46" s="149"/>
      <c r="G46" s="424"/>
      <c r="H46" s="54"/>
      <c r="I46" s="54"/>
      <c r="J46" s="416"/>
    </row>
    <row r="47" spans="1:10" ht="15.75" customHeight="1">
      <c r="A47" s="10"/>
      <c r="B47" s="50"/>
      <c r="C47" s="1993" t="str">
        <f>Riepilogo!D91</f>
        <v>Finest S.p.A.</v>
      </c>
      <c r="D47" s="1994"/>
      <c r="E47" s="149"/>
      <c r="F47" s="149"/>
      <c r="G47" s="149">
        <f>Riepilogo!AM91</f>
        <v>7657807.77</v>
      </c>
      <c r="H47" s="54"/>
      <c r="I47" s="54"/>
      <c r="J47" s="54">
        <f>Riepilogo!AC91</f>
        <v>7657807.77</v>
      </c>
    </row>
    <row r="48" spans="1:10" ht="6" customHeight="1">
      <c r="A48" s="10"/>
      <c r="B48" s="50"/>
      <c r="C48" s="7"/>
      <c r="D48" s="6"/>
      <c r="E48" s="149"/>
      <c r="F48" s="149"/>
      <c r="G48" s="424"/>
      <c r="H48" s="54"/>
      <c r="I48" s="54"/>
      <c r="J48" s="416"/>
    </row>
    <row r="49" spans="1:10" ht="15.75" customHeight="1">
      <c r="A49" s="10"/>
      <c r="B49" s="50"/>
      <c r="C49" s="205" t="str">
        <f>Riepilogo!D93</f>
        <v>Interporto di Venezia S.p.A.</v>
      </c>
      <c r="D49" s="212"/>
      <c r="E49" s="149"/>
      <c r="F49" s="149"/>
      <c r="G49" s="149">
        <f>Riepilogo!AM93</f>
        <v>2</v>
      </c>
      <c r="H49" s="54"/>
      <c r="I49" s="54"/>
      <c r="J49" s="428">
        <v>0</v>
      </c>
    </row>
    <row r="50" spans="1:10" ht="6" customHeight="1">
      <c r="A50" s="10"/>
      <c r="B50" s="50"/>
      <c r="C50" s="7"/>
      <c r="D50" s="6"/>
      <c r="E50" s="149"/>
      <c r="F50" s="149"/>
      <c r="G50" s="424"/>
      <c r="H50" s="54"/>
      <c r="I50" s="54"/>
      <c r="J50" s="416"/>
    </row>
    <row r="51" spans="1:10" ht="30.75" customHeight="1">
      <c r="A51" s="10"/>
      <c r="B51" s="50"/>
      <c r="C51" s="1991" t="e">
        <f>Riepilogo!#REF!</f>
        <v>#REF!</v>
      </c>
      <c r="D51" s="1992"/>
      <c r="E51" s="149" t="e">
        <f>Riepilogo!#REF!</f>
        <v>#REF!</v>
      </c>
      <c r="F51" s="149"/>
      <c r="G51" s="149"/>
      <c r="H51" s="149" t="e">
        <f>Riepilogo!#REF!</f>
        <v>#REF!</v>
      </c>
      <c r="I51" s="149"/>
      <c r="J51" s="149"/>
    </row>
    <row r="52" spans="1:10" ht="6" customHeight="1">
      <c r="A52" s="10"/>
      <c r="B52" s="50"/>
      <c r="C52" s="7"/>
      <c r="D52" s="6"/>
      <c r="E52" s="149"/>
      <c r="F52" s="149"/>
      <c r="G52" s="424"/>
      <c r="H52" s="54"/>
      <c r="I52" s="54"/>
      <c r="J52" s="416"/>
    </row>
    <row r="53" spans="1:10" ht="15.75" customHeight="1">
      <c r="A53" s="10"/>
      <c r="B53" s="50"/>
      <c r="C53" s="1969" t="str">
        <f>Riepilogo!D95</f>
        <v>Politecnico Calzaturiero soc. cons. a r.l.</v>
      </c>
      <c r="D53" s="1970"/>
      <c r="E53" s="149"/>
      <c r="F53" s="149"/>
      <c r="G53" s="149">
        <f>Riepilogo!AM95</f>
        <v>96000</v>
      </c>
      <c r="H53" s="54"/>
      <c r="I53" s="54"/>
      <c r="J53" s="54">
        <f>Riepilogo!AC95</f>
        <v>96000</v>
      </c>
    </row>
    <row r="54" spans="1:10" ht="6" customHeight="1">
      <c r="A54" s="10"/>
      <c r="B54" s="50"/>
      <c r="C54" s="7"/>
      <c r="D54" s="6"/>
      <c r="E54" s="149"/>
      <c r="F54" s="149"/>
      <c r="G54" s="424"/>
      <c r="H54" s="54"/>
      <c r="I54" s="54"/>
      <c r="J54" s="416"/>
    </row>
    <row r="55" spans="1:10" ht="15.75" customHeight="1">
      <c r="A55" s="10"/>
      <c r="B55" s="50"/>
      <c r="C55" s="1969" t="str">
        <f>Riepilogo!D97</f>
        <v>Xgroup S.p.A. in liquidazione</v>
      </c>
      <c r="D55" s="1970"/>
      <c r="E55" s="149"/>
      <c r="F55" s="149"/>
      <c r="G55" s="149">
        <f>Riepilogo!AM97</f>
        <v>1</v>
      </c>
      <c r="H55" s="54"/>
      <c r="I55" s="54"/>
      <c r="J55" s="54">
        <f>Riepilogo!AC97</f>
        <v>1</v>
      </c>
    </row>
    <row r="56" spans="1:10" ht="6" customHeight="1">
      <c r="A56" s="10"/>
      <c r="B56" s="50"/>
      <c r="C56" s="7"/>
      <c r="D56" s="6"/>
      <c r="E56" s="54"/>
      <c r="F56" s="54"/>
      <c r="G56" s="416"/>
      <c r="H56" s="54"/>
      <c r="I56" s="54"/>
      <c r="J56" s="416"/>
    </row>
    <row r="57" spans="1:10" ht="15.75" customHeight="1">
      <c r="A57" s="10"/>
      <c r="B57" s="50" t="s">
        <v>3</v>
      </c>
      <c r="C57" s="7" t="s">
        <v>4</v>
      </c>
      <c r="D57" s="6"/>
      <c r="E57" s="394">
        <v>0</v>
      </c>
      <c r="F57" s="394">
        <v>0</v>
      </c>
      <c r="G57" s="394">
        <v>0</v>
      </c>
      <c r="H57" s="394">
        <v>0</v>
      </c>
      <c r="I57" s="394">
        <v>0</v>
      </c>
      <c r="J57" s="394">
        <v>0</v>
      </c>
    </row>
    <row r="58" spans="1:10" ht="6" customHeight="1">
      <c r="A58" s="10"/>
      <c r="B58" s="50"/>
      <c r="C58" s="7"/>
      <c r="D58" s="6"/>
      <c r="E58" s="422"/>
      <c r="F58" s="422"/>
      <c r="G58" s="422"/>
      <c r="H58" s="422"/>
      <c r="I58" s="422"/>
      <c r="J58" s="422"/>
    </row>
    <row r="59" spans="1:10" ht="21" customHeight="1">
      <c r="A59" s="10"/>
      <c r="B59" s="8"/>
      <c r="C59" s="19" t="s">
        <v>5</v>
      </c>
      <c r="D59" s="9"/>
      <c r="E59" s="13" t="e">
        <f aca="true" t="shared" si="2" ref="E59:J59">E5+E15+E57</f>
        <v>#REF!</v>
      </c>
      <c r="F59" s="18">
        <f t="shared" si="2"/>
        <v>0</v>
      </c>
      <c r="G59" s="13">
        <f t="shared" si="2"/>
        <v>13462016.520000001</v>
      </c>
      <c r="H59" s="13" t="e">
        <f t="shared" si="2"/>
        <v>#REF!</v>
      </c>
      <c r="I59" s="117">
        <f t="shared" si="2"/>
        <v>0</v>
      </c>
      <c r="J59" s="116">
        <f t="shared" si="2"/>
        <v>14805679.720000003</v>
      </c>
    </row>
    <row r="60" spans="1:1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.75" customHeight="1">
      <c r="A61" s="10"/>
      <c r="B61" s="10"/>
      <c r="C61" s="390"/>
      <c r="D61" s="10"/>
      <c r="E61" s="10"/>
      <c r="F61" s="10"/>
      <c r="G61" s="393"/>
      <c r="H61" s="393"/>
      <c r="I61" s="10"/>
      <c r="J61" s="10"/>
    </row>
    <row r="62" spans="1:10" s="449" customFormat="1" ht="15.75" customHeight="1">
      <c r="A62" s="504"/>
      <c r="B62" s="504"/>
      <c r="C62" s="1957" t="s">
        <v>211</v>
      </c>
      <c r="D62" s="504"/>
      <c r="E62" s="1995" t="e">
        <f>(E59+F59+G59)-(Riepilogo!AM38+Riepilogo!AM99+G11+G17)</f>
        <v>#REF!</v>
      </c>
      <c r="F62" s="1995"/>
      <c r="G62" s="1995"/>
      <c r="H62" s="1995" t="e">
        <f>(H59+I59+J59)-(Riepilogo!AC38+Riepilogo!AC99+J11+J17)-J21</f>
        <v>#REF!</v>
      </c>
      <c r="I62" s="1995"/>
      <c r="J62" s="1995"/>
    </row>
    <row r="63" spans="1:10" s="449" customFormat="1" ht="15.75" customHeight="1">
      <c r="A63" s="504"/>
      <c r="B63" s="504"/>
      <c r="C63" s="1957"/>
      <c r="D63" s="504"/>
      <c r="E63" s="1957" t="e">
        <f>IF(E62=0,"quadra","non quadra")</f>
        <v>#REF!</v>
      </c>
      <c r="F63" s="1957"/>
      <c r="G63" s="1957"/>
      <c r="H63" s="1957" t="e">
        <f>IF(H62=0,"quadra","non quadra")</f>
        <v>#REF!</v>
      </c>
      <c r="I63" s="1957"/>
      <c r="J63" s="1957"/>
    </row>
    <row r="64" spans="1:10" s="449" customFormat="1" ht="12.75">
      <c r="A64" s="504"/>
      <c r="B64" s="504"/>
      <c r="C64" s="504"/>
      <c r="D64" s="504"/>
      <c r="E64" s="968" t="s">
        <v>612</v>
      </c>
      <c r="F64" s="504"/>
      <c r="G64" s="504"/>
      <c r="H64" s="968"/>
      <c r="I64" s="504"/>
      <c r="J64" s="504"/>
    </row>
    <row r="65" spans="1:10" ht="12.75">
      <c r="A65" s="10"/>
      <c r="B65" s="10"/>
      <c r="C65" s="10"/>
      <c r="D65" s="10"/>
      <c r="E65" s="393"/>
      <c r="F65" s="10"/>
      <c r="G65" s="10"/>
      <c r="H65" s="10"/>
      <c r="I65" s="10"/>
      <c r="J65" s="10"/>
    </row>
    <row r="66" ht="12.75">
      <c r="F66" s="448"/>
    </row>
    <row r="67" ht="12.75">
      <c r="E67" s="446" t="s">
        <v>437</v>
      </c>
    </row>
    <row r="68" spans="5:7" ht="12.75">
      <c r="E68" s="468" t="e">
        <f>E59+F59+G59</f>
        <v>#REF!</v>
      </c>
      <c r="F68" s="464"/>
      <c r="G68" s="464"/>
    </row>
    <row r="75" ht="12.75">
      <c r="E75" s="447"/>
    </row>
    <row r="76" ht="12.75">
      <c r="E76" s="447"/>
    </row>
    <row r="77" ht="12.75">
      <c r="E77" s="447"/>
    </row>
    <row r="141" spans="2:25" ht="12.75"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448"/>
      <c r="Q141" s="448"/>
      <c r="R141" s="448"/>
      <c r="S141" s="448"/>
      <c r="T141" s="448"/>
      <c r="U141" s="448"/>
      <c r="V141" s="448"/>
      <c r="W141" s="448"/>
      <c r="X141" s="448"/>
      <c r="Y141" s="448"/>
    </row>
    <row r="142" spans="2:25" ht="12.75">
      <c r="B142" s="448"/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  <c r="O142" s="448"/>
      <c r="P142" s="448"/>
      <c r="Q142" s="448"/>
      <c r="R142" s="448"/>
      <c r="S142" s="448"/>
      <c r="T142" s="448"/>
      <c r="U142" s="448"/>
      <c r="V142" s="448"/>
      <c r="W142" s="448"/>
      <c r="X142" s="448"/>
      <c r="Y142" s="448"/>
    </row>
    <row r="143" spans="2:25" ht="12.75"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  <c r="O143" s="448"/>
      <c r="P143" s="448"/>
      <c r="Q143" s="448"/>
      <c r="R143" s="448"/>
      <c r="S143" s="448"/>
      <c r="T143" s="448"/>
      <c r="U143" s="448"/>
      <c r="V143" s="448"/>
      <c r="W143" s="448"/>
      <c r="X143" s="448"/>
      <c r="Y143" s="448"/>
    </row>
    <row r="144" spans="2:25" ht="12.75"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</row>
    <row r="145" spans="2:25" ht="12.75"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8"/>
      <c r="R145" s="448"/>
      <c r="S145" s="448"/>
      <c r="T145" s="448"/>
      <c r="U145" s="448"/>
      <c r="V145" s="448"/>
      <c r="W145" s="448"/>
      <c r="X145" s="448"/>
      <c r="Y145" s="448"/>
    </row>
  </sheetData>
  <sheetProtection/>
  <mergeCells count="19">
    <mergeCell ref="C62:C63"/>
    <mergeCell ref="E62:G62"/>
    <mergeCell ref="H62:J62"/>
    <mergeCell ref="E63:G63"/>
    <mergeCell ref="H63:J63"/>
    <mergeCell ref="E2:G2"/>
    <mergeCell ref="C31:D31"/>
    <mergeCell ref="C39:D39"/>
    <mergeCell ref="C55:D55"/>
    <mergeCell ref="H2:J2"/>
    <mergeCell ref="B2:D3"/>
    <mergeCell ref="C51:D51"/>
    <mergeCell ref="C53:D53"/>
    <mergeCell ref="C41:D41"/>
    <mergeCell ref="C37:D37"/>
    <mergeCell ref="C35:D35"/>
    <mergeCell ref="C43:D43"/>
    <mergeCell ref="C47:D47"/>
    <mergeCell ref="C45:D4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  <ignoredErrors>
    <ignoredError sqref="G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</sheetPr>
  <dimension ref="A1:I38"/>
  <sheetViews>
    <sheetView zoomScale="90" zoomScaleNormal="9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2.28125" style="10" customWidth="1"/>
    <col min="3" max="3" width="9.140625" style="10" customWidth="1"/>
    <col min="4" max="4" width="40.00390625" style="10" customWidth="1"/>
    <col min="5" max="5" width="9.140625" style="10" customWidth="1"/>
    <col min="6" max="6" width="18.140625" style="10" customWidth="1"/>
    <col min="7" max="7" width="9.140625" style="386" customWidth="1"/>
    <col min="8" max="8" width="9.140625" style="398" customWidth="1"/>
    <col min="9" max="16384" width="9.140625" style="386" customWidth="1"/>
  </cols>
  <sheetData>
    <row r="1" spans="2:8" s="39" customFormat="1" ht="16.5" customHeight="1">
      <c r="B1" s="884" t="s">
        <v>266</v>
      </c>
      <c r="C1" s="120"/>
      <c r="D1" s="120"/>
      <c r="E1" s="445"/>
      <c r="F1" s="445"/>
      <c r="G1" s="65"/>
      <c r="H1" s="396"/>
    </row>
    <row r="2" spans="2:8" s="39" customFormat="1" ht="27.75" customHeight="1">
      <c r="B2" s="2005" t="s">
        <v>93</v>
      </c>
      <c r="C2" s="2006"/>
      <c r="D2" s="2007"/>
      <c r="E2" s="2003" t="s">
        <v>92</v>
      </c>
      <c r="F2" s="2004"/>
      <c r="H2" s="396"/>
    </row>
    <row r="3" spans="1:8" s="228" customFormat="1" ht="6" customHeight="1">
      <c r="A3" s="139"/>
      <c r="B3" s="118"/>
      <c r="C3" s="121"/>
      <c r="D3" s="119"/>
      <c r="E3" s="583"/>
      <c r="F3" s="122"/>
      <c r="G3" s="90"/>
      <c r="H3" s="397"/>
    </row>
    <row r="4" spans="1:8" s="228" customFormat="1" ht="16.5" customHeight="1">
      <c r="A4" s="139"/>
      <c r="B4" s="118"/>
      <c r="C4" s="201" t="str">
        <f>Riepilogo!D36</f>
        <v>WearIT S.r.l.</v>
      </c>
      <c r="D4" s="119"/>
      <c r="E4" s="1999" t="s">
        <v>267</v>
      </c>
      <c r="F4" s="2000"/>
      <c r="G4" s="90"/>
      <c r="H4" s="397"/>
    </row>
    <row r="5" spans="1:8" s="228" customFormat="1" ht="6" customHeight="1">
      <c r="A5" s="139"/>
      <c r="B5" s="118"/>
      <c r="C5" s="121"/>
      <c r="D5" s="119"/>
      <c r="E5" s="583"/>
      <c r="F5" s="122"/>
      <c r="G5" s="90"/>
      <c r="H5" s="397"/>
    </row>
    <row r="6" spans="2:9" s="39" customFormat="1" ht="16.5" customHeight="1">
      <c r="B6" s="118"/>
      <c r="C6" s="2001" t="str">
        <f>Riepilogo!D73</f>
        <v>Aeroporto di Treviso S.p.A. </v>
      </c>
      <c r="D6" s="1992"/>
      <c r="E6" s="1999" t="s">
        <v>87</v>
      </c>
      <c r="F6" s="2000"/>
      <c r="G6" s="65"/>
      <c r="H6" s="396"/>
      <c r="I6" s="65"/>
    </row>
    <row r="7" spans="1:8" s="228" customFormat="1" ht="6" customHeight="1">
      <c r="A7" s="139"/>
      <c r="B7" s="118"/>
      <c r="C7" s="121"/>
      <c r="D7" s="119"/>
      <c r="E7" s="583"/>
      <c r="F7" s="122"/>
      <c r="G7" s="90"/>
      <c r="H7" s="397"/>
    </row>
    <row r="8" spans="2:9" s="39" customFormat="1" ht="14.25">
      <c r="B8" s="118"/>
      <c r="C8" s="2001" t="str">
        <f>Riepilogo!D75</f>
        <v>Aeroporto Valerio Catullo di Verona Villafranca S.p.A.</v>
      </c>
      <c r="D8" s="1992"/>
      <c r="E8" s="1999" t="s">
        <v>87</v>
      </c>
      <c r="F8" s="2000"/>
      <c r="G8" s="65"/>
      <c r="H8" s="396"/>
      <c r="I8" s="65"/>
    </row>
    <row r="9" spans="1:8" s="228" customFormat="1" ht="6" customHeight="1">
      <c r="A9" s="139"/>
      <c r="B9" s="118"/>
      <c r="C9" s="121"/>
      <c r="D9" s="119"/>
      <c r="E9" s="583"/>
      <c r="F9" s="122"/>
      <c r="G9" s="90"/>
      <c r="H9" s="397"/>
    </row>
    <row r="10" spans="2:9" s="39" customFormat="1" ht="16.5" customHeight="1">
      <c r="B10" s="118"/>
      <c r="C10" s="2001" t="str">
        <f>Riepilogo!D77</f>
        <v>Alpi Eagles S.p.A.</v>
      </c>
      <c r="D10" s="1992"/>
      <c r="E10" s="1999" t="s">
        <v>87</v>
      </c>
      <c r="F10" s="2000"/>
      <c r="G10" s="65"/>
      <c r="H10" s="396"/>
      <c r="I10" s="65"/>
    </row>
    <row r="11" spans="1:8" s="228" customFormat="1" ht="6" customHeight="1">
      <c r="A11" s="139"/>
      <c r="B11" s="118"/>
      <c r="C11" s="121"/>
      <c r="D11" s="119"/>
      <c r="E11" s="583"/>
      <c r="F11" s="122"/>
      <c r="G11" s="90"/>
      <c r="H11" s="397"/>
    </row>
    <row r="12" spans="2:9" s="39" customFormat="1" ht="16.5" customHeight="1">
      <c r="B12" s="118"/>
      <c r="C12" s="2001" t="str">
        <f>Riepilogo!D79</f>
        <v>Attiva S.p.A. in liquidazione </v>
      </c>
      <c r="D12" s="1992"/>
      <c r="E12" s="1999" t="s">
        <v>88</v>
      </c>
      <c r="F12" s="2000"/>
      <c r="G12" s="65"/>
      <c r="H12" s="396"/>
      <c r="I12" s="65"/>
    </row>
    <row r="13" spans="1:8" s="228" customFormat="1" ht="6" customHeight="1">
      <c r="A13" s="139"/>
      <c r="B13" s="118"/>
      <c r="C13" s="121"/>
      <c r="D13" s="119"/>
      <c r="E13" s="583"/>
      <c r="F13" s="122"/>
      <c r="G13" s="90"/>
      <c r="H13" s="397"/>
    </row>
    <row r="14" spans="2:9" s="39" customFormat="1" ht="16.5" customHeight="1">
      <c r="B14" s="118"/>
      <c r="C14" s="2001" t="str">
        <f>Riepilogo!D81</f>
        <v>Autodromo del Veneto S.p.A.</v>
      </c>
      <c r="D14" s="1992"/>
      <c r="E14" s="1999" t="s">
        <v>88</v>
      </c>
      <c r="F14" s="2000"/>
      <c r="G14" s="65"/>
      <c r="H14" s="39" t="s">
        <v>617</v>
      </c>
      <c r="I14" s="65"/>
    </row>
    <row r="15" spans="1:8" s="228" customFormat="1" ht="6" customHeight="1">
      <c r="A15" s="139"/>
      <c r="B15" s="118"/>
      <c r="C15" s="121"/>
      <c r="D15" s="119"/>
      <c r="E15" s="583"/>
      <c r="F15" s="122"/>
      <c r="G15" s="90"/>
      <c r="H15" s="397"/>
    </row>
    <row r="16" spans="2:9" s="39" customFormat="1" ht="16.5" customHeight="1">
      <c r="B16" s="118"/>
      <c r="C16" s="2001" t="str">
        <f>Riepilogo!D83</f>
        <v>Banca Popolare Etica soc. coop. per azioni</v>
      </c>
      <c r="D16" s="1992"/>
      <c r="E16" s="1999" t="s">
        <v>89</v>
      </c>
      <c r="F16" s="2000"/>
      <c r="G16" s="65"/>
      <c r="H16" s="396"/>
      <c r="I16" s="65"/>
    </row>
    <row r="17" spans="1:8" s="228" customFormat="1" ht="6" customHeight="1">
      <c r="A17" s="139"/>
      <c r="B17" s="118"/>
      <c r="C17" s="121"/>
      <c r="D17" s="119"/>
      <c r="E17" s="583"/>
      <c r="F17" s="122"/>
      <c r="G17" s="90"/>
      <c r="H17" s="397"/>
    </row>
    <row r="18" spans="2:9" s="39" customFormat="1" ht="16.5" customHeight="1">
      <c r="B18" s="118"/>
      <c r="C18" s="2001" t="str">
        <f>Riepilogo!D85</f>
        <v>Bic Adriatico s.c. a r.l. in fallimento</v>
      </c>
      <c r="D18" s="1992"/>
      <c r="E18" s="1999" t="s">
        <v>90</v>
      </c>
      <c r="F18" s="2000"/>
      <c r="G18" s="445"/>
      <c r="H18" s="396"/>
      <c r="I18" s="65"/>
    </row>
    <row r="19" spans="1:8" s="228" customFormat="1" ht="6" customHeight="1">
      <c r="A19" s="139"/>
      <c r="B19" s="118"/>
      <c r="C19" s="121"/>
      <c r="D19" s="119"/>
      <c r="E19" s="583"/>
      <c r="F19" s="122"/>
      <c r="G19" s="583"/>
      <c r="H19" s="397"/>
    </row>
    <row r="20" spans="2:9" s="39" customFormat="1" ht="16.5" customHeight="1">
      <c r="B20" s="118"/>
      <c r="C20" s="2001" t="str">
        <f>Riepilogo!D87</f>
        <v>Compagnia Investimenti e Sviluppo - C.I.S. S.p.A.</v>
      </c>
      <c r="D20" s="1992"/>
      <c r="E20" s="2008" t="s">
        <v>384</v>
      </c>
      <c r="F20" s="2009"/>
      <c r="G20" s="445"/>
      <c r="H20" s="396"/>
      <c r="I20" s="65"/>
    </row>
    <row r="21" spans="1:8" s="228" customFormat="1" ht="6" customHeight="1">
      <c r="A21" s="139"/>
      <c r="B21" s="118"/>
      <c r="C21" s="121"/>
      <c r="D21" s="119"/>
      <c r="E21" s="583"/>
      <c r="F21" s="122"/>
      <c r="G21" s="583"/>
      <c r="H21" s="397"/>
    </row>
    <row r="22" spans="2:9" s="39" customFormat="1" ht="16.5" customHeight="1">
      <c r="B22" s="118"/>
      <c r="C22" s="2001" t="str">
        <f>Riepilogo!D89</f>
        <v>Expo Venice S.p.A.</v>
      </c>
      <c r="D22" s="1992"/>
      <c r="E22" s="1999" t="s">
        <v>90</v>
      </c>
      <c r="F22" s="2000"/>
      <c r="G22" s="445"/>
      <c r="H22" s="396"/>
      <c r="I22" s="65"/>
    </row>
    <row r="23" spans="1:8" s="228" customFormat="1" ht="6" customHeight="1">
      <c r="A23" s="139"/>
      <c r="B23" s="118"/>
      <c r="C23" s="121"/>
      <c r="D23" s="119"/>
      <c r="E23" s="583"/>
      <c r="F23" s="122"/>
      <c r="G23" s="583"/>
      <c r="H23" s="397"/>
    </row>
    <row r="24" spans="2:9" s="39" customFormat="1" ht="16.5" customHeight="1">
      <c r="B24" s="118"/>
      <c r="C24" s="2001" t="str">
        <f>Riepilogo!D91</f>
        <v>Finest S.p.A.</v>
      </c>
      <c r="D24" s="1992"/>
      <c r="E24" s="2008" t="s">
        <v>384</v>
      </c>
      <c r="F24" s="2009"/>
      <c r="G24" s="445"/>
      <c r="H24" s="396"/>
      <c r="I24" s="65"/>
    </row>
    <row r="25" spans="2:9" s="39" customFormat="1" ht="6" customHeight="1">
      <c r="B25" s="118"/>
      <c r="C25" s="2001"/>
      <c r="D25" s="2002"/>
      <c r="E25" s="885"/>
      <c r="F25" s="886"/>
      <c r="G25" s="445"/>
      <c r="H25" s="396"/>
      <c r="I25" s="65"/>
    </row>
    <row r="26" spans="2:9" s="39" customFormat="1" ht="21.75" customHeight="1">
      <c r="B26" s="118"/>
      <c r="C26" s="2001" t="str">
        <f>Riepilogo!D93</f>
        <v>Interporto di Venezia S.p.A.</v>
      </c>
      <c r="D26" s="2002"/>
      <c r="E26" s="1999" t="s">
        <v>90</v>
      </c>
      <c r="F26" s="2000"/>
      <c r="G26" s="445"/>
      <c r="H26" s="396"/>
      <c r="I26" s="65"/>
    </row>
    <row r="27" spans="1:8" s="228" customFormat="1" ht="6" customHeight="1">
      <c r="A27" s="139"/>
      <c r="B27" s="118"/>
      <c r="C27" s="121"/>
      <c r="D27" s="119"/>
      <c r="E27" s="583"/>
      <c r="F27" s="122"/>
      <c r="G27" s="583"/>
      <c r="H27" s="397"/>
    </row>
    <row r="28" spans="2:9" s="39" customFormat="1" ht="16.5" customHeight="1">
      <c r="B28" s="118"/>
      <c r="C28" s="2001" t="str">
        <f>Riepilogo!D95</f>
        <v>Politecnico Calzaturiero soc. cons. a r.l.</v>
      </c>
      <c r="D28" s="1992"/>
      <c r="E28" s="1999" t="s">
        <v>90</v>
      </c>
      <c r="F28" s="2000"/>
      <c r="G28" s="445"/>
      <c r="H28" s="396"/>
      <c r="I28" s="65"/>
    </row>
    <row r="29" spans="2:9" s="39" customFormat="1" ht="5.25" customHeight="1">
      <c r="B29" s="118"/>
      <c r="C29" s="887"/>
      <c r="D29" s="851"/>
      <c r="E29" s="885"/>
      <c r="F29" s="886"/>
      <c r="G29" s="445"/>
      <c r="H29" s="396"/>
      <c r="I29" s="65"/>
    </row>
    <row r="30" spans="2:9" s="39" customFormat="1" ht="16.5" customHeight="1">
      <c r="B30" s="118"/>
      <c r="C30" s="2001" t="str">
        <f>Riepilogo!D97</f>
        <v>Xgroup S.p.A. in liquidazione</v>
      </c>
      <c r="D30" s="1992"/>
      <c r="E30" s="1999" t="s">
        <v>212</v>
      </c>
      <c r="F30" s="2000"/>
      <c r="G30" s="445"/>
      <c r="H30" s="396"/>
      <c r="I30" s="65"/>
    </row>
    <row r="31" spans="1:8" s="228" customFormat="1" ht="6" customHeight="1">
      <c r="A31" s="139"/>
      <c r="B31" s="118"/>
      <c r="C31" s="121"/>
      <c r="D31" s="119"/>
      <c r="E31" s="583"/>
      <c r="F31" s="122"/>
      <c r="G31" s="583"/>
      <c r="H31" s="397"/>
    </row>
    <row r="32" spans="1:8" s="228" customFormat="1" ht="16.5" customHeight="1">
      <c r="A32" s="139"/>
      <c r="B32" s="118"/>
      <c r="C32" s="1991" t="s">
        <v>436</v>
      </c>
      <c r="D32" s="1992"/>
      <c r="E32" s="2010" t="s">
        <v>91</v>
      </c>
      <c r="F32" s="2011"/>
      <c r="G32" s="583"/>
      <c r="H32" s="397"/>
    </row>
    <row r="33" spans="1:8" s="228" customFormat="1" ht="6" customHeight="1">
      <c r="A33" s="139"/>
      <c r="B33" s="118"/>
      <c r="C33" s="121"/>
      <c r="D33" s="119"/>
      <c r="E33" s="583"/>
      <c r="F33" s="122"/>
      <c r="G33" s="583"/>
      <c r="H33" s="397"/>
    </row>
    <row r="34" spans="2:9" s="39" customFormat="1" ht="16.5" customHeight="1">
      <c r="B34" s="118"/>
      <c r="C34" s="2001" t="s">
        <v>395</v>
      </c>
      <c r="D34" s="1992"/>
      <c r="E34" s="1999" t="s">
        <v>212</v>
      </c>
      <c r="F34" s="2000"/>
      <c r="G34" s="445"/>
      <c r="H34" s="396"/>
      <c r="I34" s="65"/>
    </row>
    <row r="35" spans="1:8" s="391" customFormat="1" ht="6" customHeight="1">
      <c r="A35" s="389"/>
      <c r="B35" s="175"/>
      <c r="C35" s="176"/>
      <c r="D35" s="177"/>
      <c r="E35" s="522"/>
      <c r="F35" s="128"/>
      <c r="G35" s="583"/>
      <c r="H35" s="888"/>
    </row>
    <row r="36" spans="2:8" s="39" customFormat="1" ht="14.25">
      <c r="B36" s="65"/>
      <c r="C36" s="120"/>
      <c r="D36" s="120"/>
      <c r="E36" s="445"/>
      <c r="F36" s="445"/>
      <c r="G36" s="445"/>
      <c r="H36" s="396"/>
    </row>
    <row r="37" ht="12.75">
      <c r="C37" s="390"/>
    </row>
    <row r="38" ht="12.75">
      <c r="D38" s="386"/>
    </row>
  </sheetData>
  <sheetProtection/>
  <mergeCells count="34">
    <mergeCell ref="C34:D34"/>
    <mergeCell ref="E34:F34"/>
    <mergeCell ref="E28:F28"/>
    <mergeCell ref="E24:F24"/>
    <mergeCell ref="C28:D28"/>
    <mergeCell ref="C12:D12"/>
    <mergeCell ref="E20:F20"/>
    <mergeCell ref="C32:D32"/>
    <mergeCell ref="E32:F32"/>
    <mergeCell ref="C26:D26"/>
    <mergeCell ref="E22:F22"/>
    <mergeCell ref="C16:D16"/>
    <mergeCell ref="C24:D24"/>
    <mergeCell ref="E18:F18"/>
    <mergeCell ref="C20:D20"/>
    <mergeCell ref="E10:F10"/>
    <mergeCell ref="E16:F16"/>
    <mergeCell ref="C18:D18"/>
    <mergeCell ref="E2:F2"/>
    <mergeCell ref="B2:D2"/>
    <mergeCell ref="C6:D6"/>
    <mergeCell ref="E8:F8"/>
    <mergeCell ref="E6:F6"/>
    <mergeCell ref="C8:D8"/>
    <mergeCell ref="E26:F26"/>
    <mergeCell ref="C30:D30"/>
    <mergeCell ref="E30:F30"/>
    <mergeCell ref="C25:D25"/>
    <mergeCell ref="E4:F4"/>
    <mergeCell ref="E14:F14"/>
    <mergeCell ref="C14:D14"/>
    <mergeCell ref="E12:F12"/>
    <mergeCell ref="C10:D10"/>
    <mergeCell ref="C22:D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</sheetPr>
  <dimension ref="B2:K70"/>
  <sheetViews>
    <sheetView zoomScale="90" zoomScaleNormal="90" zoomScalePageLayoutView="0" workbookViewId="0" topLeftCell="A27">
      <selection activeCell="E69" sqref="E69"/>
    </sheetView>
  </sheetViews>
  <sheetFormatPr defaultColWidth="9.140625" defaultRowHeight="12.75"/>
  <cols>
    <col min="1" max="1" width="9.140625" style="10" customWidth="1"/>
    <col min="2" max="2" width="3.57421875" style="10" customWidth="1"/>
    <col min="3" max="3" width="9.140625" style="10" customWidth="1"/>
    <col min="4" max="4" width="26.7109375" style="10" customWidth="1"/>
    <col min="5" max="6" width="16.421875" style="10" customWidth="1"/>
    <col min="7" max="16384" width="9.140625" style="10" customWidth="1"/>
  </cols>
  <sheetData>
    <row r="2" spans="2:4" ht="16.5" customHeight="1">
      <c r="B2" s="148" t="s">
        <v>242</v>
      </c>
      <c r="C2" s="385"/>
      <c r="D2" s="385"/>
    </row>
    <row r="3" spans="2:10" ht="25.5" customHeight="1">
      <c r="B3" s="1980" t="s">
        <v>63</v>
      </c>
      <c r="C3" s="1981"/>
      <c r="D3" s="1982"/>
      <c r="E3" s="89">
        <v>42735</v>
      </c>
      <c r="F3" s="143">
        <v>42369</v>
      </c>
      <c r="G3" s="30"/>
      <c r="H3" s="87"/>
      <c r="I3" s="87"/>
      <c r="J3" s="30"/>
    </row>
    <row r="4" spans="2:6" ht="6" customHeight="1">
      <c r="B4" s="1"/>
      <c r="C4" s="21"/>
      <c r="D4" s="22"/>
      <c r="E4" s="23"/>
      <c r="F4" s="24"/>
    </row>
    <row r="5" spans="2:6" ht="15">
      <c r="B5" s="88" t="s">
        <v>86</v>
      </c>
      <c r="C5" s="30"/>
      <c r="D5" s="6"/>
      <c r="E5" s="14"/>
      <c r="F5" s="14"/>
    </row>
    <row r="6" spans="2:6" ht="6" customHeight="1">
      <c r="B6" s="50"/>
      <c r="C6" s="7"/>
      <c r="D6" s="6"/>
      <c r="E6" s="14"/>
      <c r="F6" s="14"/>
    </row>
    <row r="7" spans="2:6" ht="15.75" customHeight="1">
      <c r="B7" s="50" t="s">
        <v>6</v>
      </c>
      <c r="C7" s="7" t="s">
        <v>79</v>
      </c>
      <c r="D7" s="6"/>
      <c r="E7" s="15">
        <v>0</v>
      </c>
      <c r="F7" s="15">
        <v>0</v>
      </c>
    </row>
    <row r="8" spans="2:6" ht="6" customHeight="1">
      <c r="B8" s="50"/>
      <c r="C8" s="7"/>
      <c r="D8" s="6"/>
      <c r="E8" s="14"/>
      <c r="F8" s="14"/>
    </row>
    <row r="9" spans="2:6" ht="15.75" customHeight="1">
      <c r="B9" s="50" t="s">
        <v>7</v>
      </c>
      <c r="C9" s="7" t="s">
        <v>80</v>
      </c>
      <c r="D9" s="6"/>
      <c r="E9" s="15">
        <v>0</v>
      </c>
      <c r="F9" s="15">
        <v>0</v>
      </c>
    </row>
    <row r="10" spans="2:6" ht="6" customHeight="1">
      <c r="B10" s="50"/>
      <c r="C10" s="7"/>
      <c r="D10" s="6"/>
      <c r="E10" s="14"/>
      <c r="F10" s="14"/>
    </row>
    <row r="11" spans="2:6" ht="15.75" customHeight="1">
      <c r="B11" s="50" t="s">
        <v>9</v>
      </c>
      <c r="C11" s="7" t="s">
        <v>8</v>
      </c>
      <c r="D11" s="6"/>
      <c r="E11" s="14">
        <f>SUM(E12:E14)</f>
        <v>39500</v>
      </c>
      <c r="F11" s="14">
        <f>SUM(F12:F14)</f>
        <v>39500</v>
      </c>
    </row>
    <row r="12" spans="2:6" ht="6" customHeight="1">
      <c r="B12" s="50"/>
      <c r="C12" s="7"/>
      <c r="D12" s="6"/>
      <c r="E12" s="31"/>
      <c r="F12" s="31"/>
    </row>
    <row r="13" spans="2:6" ht="33.75" customHeight="1">
      <c r="B13" s="380"/>
      <c r="C13" s="2012" t="str">
        <f>Riepilogo!D83</f>
        <v>Banca Popolare Etica soc. coop. per azioni</v>
      </c>
      <c r="D13" s="2013"/>
      <c r="E13" s="219">
        <f>Riepilogo!AM83</f>
        <v>39500</v>
      </c>
      <c r="F13" s="219">
        <f>Riepilogo!AC83</f>
        <v>39500</v>
      </c>
    </row>
    <row r="14" spans="2:6" ht="6" customHeight="1">
      <c r="B14" s="50"/>
      <c r="C14" s="7"/>
      <c r="D14" s="6"/>
      <c r="E14" s="31"/>
      <c r="F14" s="31"/>
    </row>
    <row r="15" spans="2:6" ht="15.75" customHeight="1">
      <c r="B15" s="50" t="s">
        <v>11</v>
      </c>
      <c r="C15" s="7" t="s">
        <v>10</v>
      </c>
      <c r="D15" s="6"/>
      <c r="E15" s="14">
        <f>E17</f>
        <v>3061060.4</v>
      </c>
      <c r="F15" s="14">
        <f>F17</f>
        <v>2762191.6</v>
      </c>
    </row>
    <row r="16" spans="2:6" ht="7.5" customHeight="1">
      <c r="B16" s="50"/>
      <c r="C16" s="7"/>
      <c r="D16" s="6"/>
      <c r="E16" s="15"/>
      <c r="F16" s="15"/>
    </row>
    <row r="17" spans="2:6" ht="36" customHeight="1">
      <c r="B17" s="50"/>
      <c r="C17" s="2012" t="str">
        <f>'AFS 4.1'!C17</f>
        <v>Fondo Sviluppo PMI (FVS S.G.R. SpA)</v>
      </c>
      <c r="D17" s="2013"/>
      <c r="E17" s="14">
        <f>'AFS 4.1'!G17</f>
        <v>3061060.4</v>
      </c>
      <c r="F17" s="14">
        <f>'AFS 4.1'!J17</f>
        <v>2762191.6</v>
      </c>
    </row>
    <row r="18" spans="2:6" ht="6" customHeight="1">
      <c r="B18" s="380"/>
      <c r="C18" s="129"/>
      <c r="D18" s="130"/>
      <c r="E18" s="220"/>
      <c r="F18" s="220"/>
    </row>
    <row r="19" spans="2:6" ht="15.75" customHeight="1">
      <c r="B19" s="50" t="s">
        <v>81</v>
      </c>
      <c r="C19" s="7" t="s">
        <v>12</v>
      </c>
      <c r="D19" s="6"/>
      <c r="E19" s="14" t="e">
        <f>SUM(E20:E57)</f>
        <v>#REF!</v>
      </c>
      <c r="F19" s="14" t="e">
        <f>SUM(F20:F57)</f>
        <v>#REF!</v>
      </c>
    </row>
    <row r="20" spans="2:6" ht="6" customHeight="1">
      <c r="B20" s="50"/>
      <c r="C20" s="7"/>
      <c r="D20" s="6"/>
      <c r="E20" s="14"/>
      <c r="F20" s="14"/>
    </row>
    <row r="21" spans="2:6" ht="15.75" customHeight="1">
      <c r="B21" s="2016" t="str">
        <f>Riepilogo!D12</f>
        <v>Develon S.r.l.</v>
      </c>
      <c r="C21" s="2015"/>
      <c r="D21" s="2013"/>
      <c r="E21" s="219" t="s">
        <v>226</v>
      </c>
      <c r="F21" s="219">
        <f>Riepilogo!AC12</f>
        <v>2000000.0000000002</v>
      </c>
    </row>
    <row r="22" spans="2:6" ht="6" customHeight="1">
      <c r="B22" s="408"/>
      <c r="C22" s="409"/>
      <c r="D22" s="410"/>
      <c r="E22" s="219"/>
      <c r="F22" s="219"/>
    </row>
    <row r="23" spans="2:6" ht="15.75" customHeight="1">
      <c r="B23" s="2016" t="str">
        <f>Riepilogo!D34</f>
        <v>H-Farm S.p.A.</v>
      </c>
      <c r="C23" s="2017"/>
      <c r="D23" s="2018"/>
      <c r="E23" s="219">
        <f>Riepilogo!AM34</f>
        <v>1353922.5</v>
      </c>
      <c r="F23" s="219">
        <f>Riepilogo!AC34</f>
        <v>1204875</v>
      </c>
    </row>
    <row r="24" spans="2:6" ht="6" customHeight="1">
      <c r="B24" s="399"/>
      <c r="C24" s="183"/>
      <c r="D24" s="400"/>
      <c r="E24" s="219"/>
      <c r="F24" s="219"/>
    </row>
    <row r="25" spans="2:6" ht="15.75" customHeight="1">
      <c r="B25" s="2016" t="str">
        <f>Riepilogo!D36</f>
        <v>WearIT S.r.l.</v>
      </c>
      <c r="C25" s="2017"/>
      <c r="D25" s="2018" t="str">
        <f>Riepilogo!D36</f>
        <v>WearIT S.r.l.</v>
      </c>
      <c r="E25" s="219">
        <f>Riepilogo!AM36</f>
        <v>1</v>
      </c>
      <c r="F25" s="219">
        <f>Riepilogo!AC36</f>
        <v>1</v>
      </c>
    </row>
    <row r="26" spans="2:6" ht="6" customHeight="1">
      <c r="B26" s="401"/>
      <c r="C26" s="229"/>
      <c r="D26" s="213"/>
      <c r="E26" s="219"/>
      <c r="F26" s="219"/>
    </row>
    <row r="27" spans="2:6" ht="15.75" customHeight="1">
      <c r="B27" s="2014" t="str">
        <f>Riepilogo!D73</f>
        <v>Aeroporto di Treviso S.p.A. </v>
      </c>
      <c r="C27" s="2015"/>
      <c r="D27" s="2013"/>
      <c r="E27" s="219">
        <f>Riepilogo!AM73</f>
        <v>1339500</v>
      </c>
      <c r="F27" s="219">
        <f>Riepilogo!AC73</f>
        <v>1339500</v>
      </c>
    </row>
    <row r="28" spans="2:6" ht="6" customHeight="1">
      <c r="B28" s="401"/>
      <c r="C28" s="229"/>
      <c r="D28" s="213"/>
      <c r="E28" s="219"/>
      <c r="F28" s="219"/>
    </row>
    <row r="29" spans="2:6" ht="33.75" customHeight="1">
      <c r="B29" s="2028" t="str">
        <f>Riepilogo!D75</f>
        <v>Aeroporto Valerio Catullo di Verona Villafranca S.p.A.</v>
      </c>
      <c r="C29" s="2012"/>
      <c r="D29" s="2029"/>
      <c r="E29" s="219">
        <f>Riepilogo!AM75</f>
        <v>103173.35</v>
      </c>
      <c r="F29" s="219">
        <f>Riepilogo!AC75</f>
        <v>103173.35</v>
      </c>
    </row>
    <row r="30" spans="2:6" ht="6" customHeight="1">
      <c r="B30" s="401"/>
      <c r="C30" s="229"/>
      <c r="D30" s="213"/>
      <c r="E30" s="219"/>
      <c r="F30" s="219"/>
    </row>
    <row r="31" spans="2:6" ht="15.75" customHeight="1">
      <c r="B31" s="2014" t="str">
        <f>Riepilogo!D77</f>
        <v>Alpi Eagles S.p.A.</v>
      </c>
      <c r="C31" s="2015"/>
      <c r="D31" s="2013"/>
      <c r="E31" s="219">
        <f>Riepilogo!AM77</f>
        <v>1</v>
      </c>
      <c r="F31" s="219">
        <f>Riepilogo!AC77</f>
        <v>1</v>
      </c>
    </row>
    <row r="32" spans="2:6" ht="6" customHeight="1">
      <c r="B32" s="401"/>
      <c r="C32" s="229"/>
      <c r="D32" s="213"/>
      <c r="E32" s="219"/>
      <c r="F32" s="219"/>
    </row>
    <row r="33" spans="2:6" ht="15.75" customHeight="1">
      <c r="B33" s="2028" t="str">
        <f>Riepilogo!D79</f>
        <v>Attiva S.p.A. in liquidazione </v>
      </c>
      <c r="C33" s="2012"/>
      <c r="D33" s="2029"/>
      <c r="E33" s="219">
        <f>Riepilogo!AM79</f>
        <v>1.0000000009313226</v>
      </c>
      <c r="F33" s="219">
        <f>Riepilogo!AC79</f>
        <v>1.0000000009313226</v>
      </c>
    </row>
    <row r="34" spans="2:6" ht="6" customHeight="1">
      <c r="B34" s="401"/>
      <c r="C34" s="229"/>
      <c r="D34" s="213"/>
      <c r="E34" s="219"/>
      <c r="F34" s="219"/>
    </row>
    <row r="35" spans="2:6" ht="15.75" customHeight="1">
      <c r="B35" s="2028" t="str">
        <f>Riepilogo!D81</f>
        <v>Autodromo del Veneto S.p.A.</v>
      </c>
      <c r="C35" s="2012"/>
      <c r="D35" s="2029"/>
      <c r="E35" s="219">
        <f>Riepilogo!AM81</f>
        <v>1</v>
      </c>
      <c r="F35" s="219">
        <f>Riepilogo!AC81</f>
        <v>107500</v>
      </c>
    </row>
    <row r="36" spans="2:6" ht="6" customHeight="1">
      <c r="B36" s="401"/>
      <c r="C36" s="229"/>
      <c r="D36" s="213"/>
      <c r="E36" s="219"/>
      <c r="F36" s="219"/>
    </row>
    <row r="37" spans="2:11" ht="15.75" customHeight="1">
      <c r="B37" s="2014" t="str">
        <f>Riepilogo!D85</f>
        <v>Bic Adriatico s.c. a r.l. in fallimento</v>
      </c>
      <c r="C37" s="2015"/>
      <c r="D37" s="2013"/>
      <c r="E37" s="219">
        <f>Riepilogo!AM85</f>
        <v>1</v>
      </c>
      <c r="F37" s="219">
        <f>Riepilogo!AC85</f>
        <v>1</v>
      </c>
      <c r="K37" s="623"/>
    </row>
    <row r="38" spans="2:11" ht="6" customHeight="1">
      <c r="B38" s="401"/>
      <c r="C38" s="229"/>
      <c r="D38" s="213"/>
      <c r="E38" s="219"/>
      <c r="F38" s="219"/>
      <c r="K38" s="623"/>
    </row>
    <row r="39" spans="2:11" s="390" customFormat="1" ht="33.75" customHeight="1">
      <c r="B39" s="2024" t="str">
        <f>Riepilogo!D87</f>
        <v>Compagnia Investimenti e Sviluppo - C.I.S. S.p.A.</v>
      </c>
      <c r="C39" s="2025"/>
      <c r="D39" s="2026"/>
      <c r="E39" s="406">
        <f>Riepilogo!AM87</f>
        <v>1.0000000009313226</v>
      </c>
      <c r="F39" s="219">
        <f>Riepilogo!AC87</f>
        <v>1.0000000009313226</v>
      </c>
      <c r="K39" s="623"/>
    </row>
    <row r="40" spans="2:6" s="390" customFormat="1" ht="6" customHeight="1">
      <c r="B40" s="402"/>
      <c r="C40" s="214"/>
      <c r="D40" s="381"/>
      <c r="E40" s="406"/>
      <c r="F40" s="406"/>
    </row>
    <row r="41" spans="2:6" s="390" customFormat="1" ht="15.75" customHeight="1">
      <c r="B41" s="2024" t="str">
        <f>Riepilogo!D89</f>
        <v>Expo Venice S.p.A.</v>
      </c>
      <c r="C41" s="2025"/>
      <c r="D41" s="2026"/>
      <c r="E41" s="406">
        <f>Riepilogo!AM89</f>
        <v>1</v>
      </c>
      <c r="F41" s="406">
        <f>Riepilogo!AC89</f>
        <v>1</v>
      </c>
    </row>
    <row r="42" spans="2:6" s="390" customFormat="1" ht="6" customHeight="1">
      <c r="B42" s="402"/>
      <c r="C42" s="214"/>
      <c r="D42" s="381"/>
      <c r="E42" s="406"/>
      <c r="F42" s="406"/>
    </row>
    <row r="43" spans="2:6" s="390" customFormat="1" ht="15.75" customHeight="1">
      <c r="B43" s="2024" t="str">
        <f>Riepilogo!D91</f>
        <v>Finest S.p.A.</v>
      </c>
      <c r="C43" s="2025"/>
      <c r="D43" s="2026"/>
      <c r="E43" s="406">
        <f>Riepilogo!AM91</f>
        <v>7657807.77</v>
      </c>
      <c r="F43" s="406">
        <f>Riepilogo!AC91</f>
        <v>7657807.77</v>
      </c>
    </row>
    <row r="44" spans="2:6" s="390" customFormat="1" ht="6" customHeight="1">
      <c r="B44" s="402"/>
      <c r="C44" s="214"/>
      <c r="D44" s="381"/>
      <c r="E44" s="406"/>
      <c r="F44" s="406"/>
    </row>
    <row r="45" spans="2:6" s="390" customFormat="1" ht="23.25" customHeight="1">
      <c r="B45" s="2027" t="str">
        <f>Riepilogo!D93</f>
        <v>Interporto di Venezia S.p.A.</v>
      </c>
      <c r="C45" s="2025"/>
      <c r="D45" s="2026"/>
      <c r="E45" s="406">
        <f>Riepilogo!AM93</f>
        <v>2</v>
      </c>
      <c r="F45" s="15">
        <f>Riepilogo!AC93</f>
        <v>1</v>
      </c>
    </row>
    <row r="46" spans="2:6" s="390" customFormat="1" ht="6" customHeight="1">
      <c r="B46" s="402"/>
      <c r="C46" s="214"/>
      <c r="D46" s="381"/>
      <c r="E46" s="406"/>
      <c r="F46" s="406"/>
    </row>
    <row r="47" spans="2:6" ht="33.75" customHeight="1">
      <c r="B47" s="2014" t="e">
        <f>Riepilogo!#REF!</f>
        <v>#REF!</v>
      </c>
      <c r="C47" s="2015"/>
      <c r="D47" s="2013"/>
      <c r="E47" s="219" t="e">
        <f>Riepilogo!#REF!</f>
        <v>#REF!</v>
      </c>
      <c r="F47" s="219" t="e">
        <f>Riepilogo!#REF!</f>
        <v>#REF!</v>
      </c>
    </row>
    <row r="48" spans="2:6" ht="6" customHeight="1">
      <c r="B48" s="401"/>
      <c r="C48" s="229"/>
      <c r="D48" s="213"/>
      <c r="E48" s="219"/>
      <c r="F48" s="219"/>
    </row>
    <row r="49" spans="2:6" ht="15.75" customHeight="1">
      <c r="B49" s="2014" t="str">
        <f>Riepilogo!D95</f>
        <v>Politecnico Calzaturiero soc. cons. a r.l.</v>
      </c>
      <c r="C49" s="2015"/>
      <c r="D49" s="2013"/>
      <c r="E49" s="219">
        <f>Riepilogo!AM95</f>
        <v>96000</v>
      </c>
      <c r="F49" s="219">
        <f>Riepilogo!AC95</f>
        <v>96000</v>
      </c>
    </row>
    <row r="50" spans="2:6" ht="6" customHeight="1">
      <c r="B50" s="401"/>
      <c r="C50" s="229"/>
      <c r="D50" s="213"/>
      <c r="E50" s="219"/>
      <c r="F50" s="219"/>
    </row>
    <row r="51" spans="2:6" ht="15.75" customHeight="1">
      <c r="B51" s="2014" t="str">
        <f>Riepilogo!D97</f>
        <v>Xgroup S.p.A. in liquidazione</v>
      </c>
      <c r="C51" s="2015"/>
      <c r="D51" s="2013"/>
      <c r="E51" s="219">
        <f>Riepilogo!AM97</f>
        <v>1</v>
      </c>
      <c r="F51" s="219">
        <f>Riepilogo!AC97</f>
        <v>1</v>
      </c>
    </row>
    <row r="52" spans="2:6" ht="6" customHeight="1">
      <c r="B52" s="2024"/>
      <c r="C52" s="2025"/>
      <c r="D52" s="2026"/>
      <c r="E52" s="406"/>
      <c r="F52" s="517"/>
    </row>
    <row r="53" spans="2:7" ht="15.75" customHeight="1">
      <c r="B53" s="2021" t="s">
        <v>390</v>
      </c>
      <c r="C53" s="2022"/>
      <c r="D53" s="2023"/>
      <c r="E53" s="219">
        <f>'AFS 4.1'!G11</f>
        <v>714115</v>
      </c>
      <c r="F53" s="219">
        <f>'AFS 4.1'!J11</f>
        <v>700000</v>
      </c>
      <c r="G53" s="386"/>
    </row>
    <row r="54" spans="2:7" ht="9" customHeight="1">
      <c r="B54" s="974"/>
      <c r="C54" s="975"/>
      <c r="D54" s="976"/>
      <c r="E54" s="219"/>
      <c r="F54" s="219"/>
      <c r="G54" s="386"/>
    </row>
    <row r="55" spans="2:7" ht="35.25" customHeight="1">
      <c r="B55" s="974"/>
      <c r="C55" s="975"/>
      <c r="D55" s="976" t="str">
        <f>'AFS 4.1'!C13</f>
        <v>Minibond Antonio Zamperla S.p.A.</v>
      </c>
      <c r="E55" s="219">
        <f>'AFS 4.1'!G13</f>
        <v>450850</v>
      </c>
      <c r="F55" s="15">
        <v>0</v>
      </c>
      <c r="G55" s="386"/>
    </row>
    <row r="56" spans="2:7" ht="7.5" customHeight="1">
      <c r="B56" s="974"/>
      <c r="C56" s="975"/>
      <c r="D56" s="976"/>
      <c r="E56" s="219"/>
      <c r="F56" s="219"/>
      <c r="G56" s="386"/>
    </row>
    <row r="57" spans="2:6" ht="6" customHeight="1">
      <c r="B57" s="403"/>
      <c r="C57" s="404"/>
      <c r="D57" s="405"/>
      <c r="E57" s="407"/>
      <c r="F57" s="407"/>
    </row>
    <row r="58" spans="2:6" ht="6" customHeight="1" hidden="1">
      <c r="B58" s="50"/>
      <c r="C58" s="7"/>
      <c r="D58" s="6"/>
      <c r="E58" s="14"/>
      <c r="F58" s="14"/>
    </row>
    <row r="59" spans="2:6" ht="14.25" hidden="1">
      <c r="B59" s="50" t="s">
        <v>6</v>
      </c>
      <c r="C59" s="7" t="s">
        <v>8</v>
      </c>
      <c r="D59" s="6"/>
      <c r="E59" s="32">
        <v>0</v>
      </c>
      <c r="F59" s="32">
        <v>0</v>
      </c>
    </row>
    <row r="60" spans="2:6" ht="6" customHeight="1" hidden="1">
      <c r="B60" s="50"/>
      <c r="C60" s="7"/>
      <c r="D60" s="6"/>
      <c r="E60" s="31"/>
      <c r="F60" s="31"/>
    </row>
    <row r="61" spans="2:6" ht="14.25" hidden="1">
      <c r="B61" s="50" t="s">
        <v>7</v>
      </c>
      <c r="C61" s="7" t="s">
        <v>10</v>
      </c>
      <c r="D61" s="6"/>
      <c r="E61" s="32">
        <v>0</v>
      </c>
      <c r="F61" s="32">
        <v>0</v>
      </c>
    </row>
    <row r="62" spans="2:6" ht="6" customHeight="1" hidden="1">
      <c r="B62" s="50"/>
      <c r="C62" s="7"/>
      <c r="D62" s="6"/>
      <c r="E62" s="31"/>
      <c r="F62" s="31"/>
    </row>
    <row r="63" spans="2:6" ht="14.25" hidden="1">
      <c r="B63" s="50" t="s">
        <v>9</v>
      </c>
      <c r="C63" s="7" t="s">
        <v>12</v>
      </c>
      <c r="D63" s="6"/>
      <c r="E63" s="32">
        <v>0</v>
      </c>
      <c r="F63" s="32">
        <v>0</v>
      </c>
    </row>
    <row r="64" spans="2:6" ht="21" customHeight="1">
      <c r="B64" s="8"/>
      <c r="C64" s="19" t="s">
        <v>5</v>
      </c>
      <c r="D64" s="9"/>
      <c r="E64" s="13" t="e">
        <f>E7+E9+E11+E15+E19</f>
        <v>#REF!</v>
      </c>
      <c r="F64" s="13" t="e">
        <f>F7+F9+F11+F15+F19</f>
        <v>#REF!</v>
      </c>
    </row>
    <row r="65" spans="2:6" s="386" customFormat="1" ht="39.75" customHeight="1">
      <c r="B65" s="2019" t="s">
        <v>394</v>
      </c>
      <c r="C65" s="2019"/>
      <c r="D65" s="2019"/>
      <c r="E65" s="2019"/>
      <c r="F65" s="2019"/>
    </row>
    <row r="66" spans="2:6" ht="12.75">
      <c r="B66" s="2020"/>
      <c r="C66" s="2020"/>
      <c r="D66" s="2020"/>
      <c r="E66" s="2020"/>
      <c r="F66" s="2020"/>
    </row>
    <row r="67" spans="2:7" ht="12.75">
      <c r="B67" s="504"/>
      <c r="C67" s="1957" t="s">
        <v>211</v>
      </c>
      <c r="D67" s="504"/>
      <c r="E67" s="967" t="e">
        <f>E64-Riepilogo!AM38-Riepilogo!AM99-E17-E53</f>
        <v>#REF!</v>
      </c>
      <c r="F67" s="967" t="e">
        <f>F64-Riepilogo!AC38-Riepilogo!AC99-F53-F17-F21</f>
        <v>#REF!</v>
      </c>
      <c r="G67" s="386"/>
    </row>
    <row r="68" spans="2:6" ht="12.75">
      <c r="B68" s="504"/>
      <c r="C68" s="1957"/>
      <c r="D68" s="504"/>
      <c r="E68" s="966" t="e">
        <f>IF(E67=0,"quadra","non quadra")</f>
        <v>#REF!</v>
      </c>
      <c r="F68" s="966" t="e">
        <f>IF(F67=0,"quadra","non quadra")</f>
        <v>#REF!</v>
      </c>
    </row>
    <row r="69" ht="12.75">
      <c r="E69" s="968" t="s">
        <v>612</v>
      </c>
    </row>
    <row r="70" ht="12.75">
      <c r="C70" s="390"/>
    </row>
  </sheetData>
  <sheetProtection/>
  <mergeCells count="23">
    <mergeCell ref="B25:D25"/>
    <mergeCell ref="B29:D29"/>
    <mergeCell ref="B39:D39"/>
    <mergeCell ref="B37:D37"/>
    <mergeCell ref="B41:D41"/>
    <mergeCell ref="B33:D33"/>
    <mergeCell ref="B35:D35"/>
    <mergeCell ref="B49:D49"/>
    <mergeCell ref="B53:D53"/>
    <mergeCell ref="B52:D52"/>
    <mergeCell ref="B47:D47"/>
    <mergeCell ref="B43:D43"/>
    <mergeCell ref="B45:D45"/>
    <mergeCell ref="C67:C68"/>
    <mergeCell ref="B3:D3"/>
    <mergeCell ref="C13:D13"/>
    <mergeCell ref="B27:D27"/>
    <mergeCell ref="B31:D31"/>
    <mergeCell ref="B23:D23"/>
    <mergeCell ref="C17:D17"/>
    <mergeCell ref="B65:F66"/>
    <mergeCell ref="B21:D21"/>
    <mergeCell ref="B51:D51"/>
  </mergeCells>
  <printOptions/>
  <pageMargins left="0.7" right="0.7" top="0.75" bottom="0.75" header="0.3" footer="0.3"/>
  <pageSetup horizontalDpi="600" verticalDpi="600" orientation="portrait" paperSize="9" r:id="rId1"/>
  <ignoredErrors>
    <ignoredError sqref="F64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99"/>
  </sheetPr>
  <dimension ref="A1:Q25"/>
  <sheetViews>
    <sheetView zoomScale="90" zoomScaleNormal="90" zoomScalePageLayoutView="0" workbookViewId="0" topLeftCell="A1">
      <selection activeCell="A10" sqref="A10"/>
    </sheetView>
  </sheetViews>
  <sheetFormatPr defaultColWidth="9.140625" defaultRowHeight="12.75"/>
  <cols>
    <col min="1" max="1" width="6.8515625" style="10" customWidth="1"/>
    <col min="2" max="2" width="18.57421875" style="10" customWidth="1"/>
    <col min="3" max="4" width="9.140625" style="10" customWidth="1"/>
    <col min="5" max="5" width="18.57421875" style="10" customWidth="1"/>
    <col min="6" max="7" width="9.140625" style="10" customWidth="1"/>
    <col min="8" max="8" width="16.7109375" style="10" customWidth="1"/>
    <col min="9" max="9" width="15.8515625" style="10" bestFit="1" customWidth="1"/>
    <col min="10" max="10" width="9.140625" style="10" customWidth="1"/>
    <col min="11" max="11" width="27.57421875" style="10" bestFit="1" customWidth="1"/>
    <col min="12" max="12" width="11.00390625" style="10" bestFit="1" customWidth="1"/>
    <col min="13" max="16384" width="9.140625" style="10" customWidth="1"/>
  </cols>
  <sheetData>
    <row r="1" spans="1:9" ht="12.75">
      <c r="A1" s="390"/>
      <c r="B1" s="390"/>
      <c r="C1" s="390"/>
      <c r="D1" s="390"/>
      <c r="E1" s="390"/>
      <c r="F1" s="390"/>
      <c r="G1" s="390"/>
      <c r="H1" s="390"/>
      <c r="I1" s="390"/>
    </row>
    <row r="2" spans="1:17" ht="16.5" customHeight="1">
      <c r="A2" s="389"/>
      <c r="B2" s="148" t="s">
        <v>243</v>
      </c>
      <c r="C2" s="389"/>
      <c r="D2" s="389"/>
      <c r="E2" s="389"/>
      <c r="F2" s="389"/>
      <c r="G2" s="389"/>
      <c r="H2" s="389"/>
      <c r="I2" s="389"/>
      <c r="J2" s="139"/>
      <c r="K2" s="139"/>
      <c r="L2" s="139"/>
      <c r="M2" s="139"/>
      <c r="N2" s="139"/>
      <c r="O2" s="139"/>
      <c r="P2" s="139"/>
      <c r="Q2" s="139"/>
    </row>
    <row r="3" spans="1:17" ht="25.5" customHeight="1">
      <c r="A3" s="121"/>
      <c r="B3" s="889" t="s">
        <v>93</v>
      </c>
      <c r="C3" s="2030" t="s">
        <v>94</v>
      </c>
      <c r="D3" s="2031"/>
      <c r="E3" s="889" t="s">
        <v>578</v>
      </c>
      <c r="F3" s="2032" t="s">
        <v>599</v>
      </c>
      <c r="G3" s="2003"/>
      <c r="H3" s="2004"/>
      <c r="I3" s="889" t="s">
        <v>95</v>
      </c>
      <c r="J3" s="412"/>
      <c r="K3" s="139"/>
      <c r="L3" s="139"/>
      <c r="M3" s="139"/>
      <c r="N3" s="139"/>
      <c r="O3" s="139"/>
      <c r="P3" s="139"/>
      <c r="Q3" s="139"/>
    </row>
    <row r="4" spans="1:17" ht="6" customHeight="1">
      <c r="A4" s="121"/>
      <c r="B4" s="890"/>
      <c r="C4" s="891"/>
      <c r="D4" s="892"/>
      <c r="E4" s="890"/>
      <c r="F4" s="893"/>
      <c r="G4" s="179"/>
      <c r="H4" s="180"/>
      <c r="I4" s="890"/>
      <c r="J4" s="139"/>
      <c r="K4" s="139"/>
      <c r="L4" s="139"/>
      <c r="M4" s="139"/>
      <c r="N4" s="139"/>
      <c r="O4" s="139"/>
      <c r="P4" s="139"/>
      <c r="Q4" s="139"/>
    </row>
    <row r="5" spans="1:17" ht="16.5" customHeight="1">
      <c r="A5" s="121"/>
      <c r="B5" s="101" t="str">
        <f>Riepilogo!D77</f>
        <v>Alpi Eagles S.p.A.</v>
      </c>
      <c r="C5" s="2008">
        <f>Riepilogo!Z77</f>
        <v>3747515.77</v>
      </c>
      <c r="D5" s="2009"/>
      <c r="E5" s="131">
        <f>Riepilogo!AI77</f>
        <v>0</v>
      </c>
      <c r="F5" s="2033">
        <v>-3747515</v>
      </c>
      <c r="G5" s="2034"/>
      <c r="H5" s="2035"/>
      <c r="I5" s="84">
        <f>C5+F5</f>
        <v>0.7700000000186265</v>
      </c>
      <c r="J5" s="139"/>
      <c r="K5" s="412" t="s">
        <v>268</v>
      </c>
      <c r="L5" s="413">
        <v>40675</v>
      </c>
      <c r="M5" s="139"/>
      <c r="N5" s="139"/>
      <c r="O5" s="139"/>
      <c r="P5" s="139"/>
      <c r="Q5" s="139"/>
    </row>
    <row r="6" spans="1:17" ht="6" customHeight="1">
      <c r="A6" s="129"/>
      <c r="B6" s="103"/>
      <c r="C6" s="852"/>
      <c r="D6" s="122"/>
      <c r="E6" s="103"/>
      <c r="F6" s="118"/>
      <c r="G6" s="132"/>
      <c r="H6" s="894"/>
      <c r="I6" s="103"/>
      <c r="J6" s="139"/>
      <c r="K6" s="412"/>
      <c r="L6" s="412"/>
      <c r="M6" s="139"/>
      <c r="N6" s="139"/>
      <c r="O6" s="139"/>
      <c r="P6" s="139"/>
      <c r="Q6" s="139"/>
    </row>
    <row r="7" spans="1:17" ht="30" customHeight="1">
      <c r="A7" s="121"/>
      <c r="B7" s="895" t="str">
        <f>Riepilogo!D79</f>
        <v>Attiva S.p.A. in liquidazione </v>
      </c>
      <c r="C7" s="2008">
        <f>Riepilogo!Z79</f>
        <v>5519852.680000001</v>
      </c>
      <c r="D7" s="2009"/>
      <c r="E7" s="131">
        <f>Riepilogo!AI79</f>
        <v>0</v>
      </c>
      <c r="F7" s="2033">
        <v>-5519852</v>
      </c>
      <c r="G7" s="2034"/>
      <c r="H7" s="2035"/>
      <c r="I7" s="84">
        <f>C7+F7</f>
        <v>0.6800000006332994</v>
      </c>
      <c r="J7" s="139"/>
      <c r="K7" s="412" t="s">
        <v>268</v>
      </c>
      <c r="L7" s="413">
        <v>41621</v>
      </c>
      <c r="M7" s="139"/>
      <c r="N7" s="139"/>
      <c r="O7" s="139"/>
      <c r="P7" s="139"/>
      <c r="Q7" s="139"/>
    </row>
    <row r="8" spans="1:17" ht="6" customHeight="1">
      <c r="A8" s="129"/>
      <c r="B8" s="103"/>
      <c r="C8" s="852"/>
      <c r="D8" s="122"/>
      <c r="E8" s="103"/>
      <c r="F8" s="118"/>
      <c r="G8" s="132"/>
      <c r="H8" s="894"/>
      <c r="I8" s="103"/>
      <c r="J8" s="139"/>
      <c r="K8" s="412"/>
      <c r="L8" s="412"/>
      <c r="M8" s="139"/>
      <c r="N8" s="139"/>
      <c r="O8" s="139"/>
      <c r="P8" s="139"/>
      <c r="Q8" s="139"/>
    </row>
    <row r="9" spans="1:17" ht="30" customHeight="1">
      <c r="A9" s="133"/>
      <c r="B9" s="895" t="str">
        <f>Riepilogo!D85</f>
        <v>Bic Adriatico s.c. a r.l. in fallimento</v>
      </c>
      <c r="C9" s="2008">
        <f>Riepilogo!Z85</f>
        <v>23997.9</v>
      </c>
      <c r="D9" s="2009"/>
      <c r="E9" s="131">
        <f>Riepilogo!AI85</f>
        <v>0</v>
      </c>
      <c r="F9" s="2033">
        <v>-23997</v>
      </c>
      <c r="G9" s="2034"/>
      <c r="H9" s="2035"/>
      <c r="I9" s="84">
        <f>C9+F9</f>
        <v>0.9000000000014552</v>
      </c>
      <c r="J9" s="139"/>
      <c r="K9" s="412" t="s">
        <v>268</v>
      </c>
      <c r="L9" s="413">
        <v>37972</v>
      </c>
      <c r="M9" s="139"/>
      <c r="N9" s="139"/>
      <c r="O9" s="139"/>
      <c r="P9" s="139"/>
      <c r="Q9" s="139"/>
    </row>
    <row r="10" spans="1:17" ht="6" customHeight="1">
      <c r="A10" s="129"/>
      <c r="B10" s="103"/>
      <c r="C10" s="852"/>
      <c r="D10" s="122"/>
      <c r="E10" s="103"/>
      <c r="F10" s="118"/>
      <c r="G10" s="132"/>
      <c r="H10" s="894"/>
      <c r="I10" s="103"/>
      <c r="J10" s="139"/>
      <c r="K10" s="412"/>
      <c r="L10" s="412"/>
      <c r="M10" s="139"/>
      <c r="N10" s="139"/>
      <c r="O10" s="139"/>
      <c r="P10" s="139"/>
      <c r="Q10" s="139"/>
    </row>
    <row r="11" spans="1:17" ht="26.25" customHeight="1">
      <c r="A11" s="129"/>
      <c r="B11" s="895" t="str">
        <f>Riepilogo!D97</f>
        <v>Xgroup S.p.A. in liquidazione</v>
      </c>
      <c r="C11" s="2008">
        <f>Riepilogo!Z97</f>
        <v>4134952</v>
      </c>
      <c r="D11" s="2009"/>
      <c r="E11" s="131">
        <f>Riepilogo!AI87</f>
        <v>0</v>
      </c>
      <c r="F11" s="2033">
        <v>-4134951</v>
      </c>
      <c r="G11" s="2034"/>
      <c r="H11" s="2035"/>
      <c r="I11" s="84">
        <f>C11+F11</f>
        <v>1</v>
      </c>
      <c r="J11" s="139"/>
      <c r="K11" s="530" t="s">
        <v>268</v>
      </c>
      <c r="L11" s="413">
        <v>41467</v>
      </c>
      <c r="M11" s="139"/>
      <c r="N11" s="139"/>
      <c r="O11" s="139"/>
      <c r="P11" s="139"/>
      <c r="Q11" s="139"/>
    </row>
    <row r="12" spans="1:17" ht="6" customHeight="1">
      <c r="A12" s="129"/>
      <c r="B12" s="103"/>
      <c r="C12" s="852"/>
      <c r="D12" s="122"/>
      <c r="E12" s="103"/>
      <c r="F12" s="118"/>
      <c r="G12" s="132"/>
      <c r="H12" s="894"/>
      <c r="I12" s="103"/>
      <c r="J12" s="139"/>
      <c r="K12" s="412"/>
      <c r="L12" s="412"/>
      <c r="M12" s="139"/>
      <c r="N12" s="139"/>
      <c r="O12" s="139"/>
      <c r="P12" s="139"/>
      <c r="Q12" s="139"/>
    </row>
    <row r="13" spans="1:17" ht="30" customHeight="1">
      <c r="A13" s="133"/>
      <c r="B13" s="895" t="s">
        <v>520</v>
      </c>
      <c r="C13" s="2008">
        <v>123580</v>
      </c>
      <c r="D13" s="2009"/>
      <c r="E13" s="131">
        <f>Riepilogo!AI89</f>
        <v>0</v>
      </c>
      <c r="F13" s="2033">
        <v>-123579</v>
      </c>
      <c r="G13" s="2034"/>
      <c r="H13" s="2035"/>
      <c r="I13" s="84">
        <f>C13+F13</f>
        <v>1</v>
      </c>
      <c r="J13" s="389"/>
      <c r="K13" s="928" t="s">
        <v>268</v>
      </c>
      <c r="L13" s="929">
        <v>42641</v>
      </c>
      <c r="M13" s="139"/>
      <c r="N13" s="139"/>
      <c r="O13" s="139"/>
      <c r="P13" s="139"/>
      <c r="Q13" s="139"/>
    </row>
    <row r="14" spans="1:17" ht="6" customHeight="1">
      <c r="A14" s="121"/>
      <c r="B14" s="134"/>
      <c r="C14" s="127"/>
      <c r="D14" s="128"/>
      <c r="E14" s="134"/>
      <c r="F14" s="896"/>
      <c r="G14" s="176"/>
      <c r="H14" s="177"/>
      <c r="I14" s="134"/>
      <c r="J14" s="139"/>
      <c r="K14" s="139"/>
      <c r="L14" s="139"/>
      <c r="M14" s="139"/>
      <c r="N14" s="139"/>
      <c r="O14" s="139"/>
      <c r="P14" s="139"/>
      <c r="Q14" s="139"/>
    </row>
    <row r="15" spans="1:17" ht="12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139"/>
      <c r="K15" s="139"/>
      <c r="L15" s="139"/>
      <c r="M15" s="139"/>
      <c r="N15" s="139"/>
      <c r="O15" s="139"/>
      <c r="P15" s="139"/>
      <c r="Q15" s="139"/>
    </row>
    <row r="16" spans="1:17" ht="6" customHeight="1">
      <c r="A16" s="389"/>
      <c r="B16" s="389"/>
      <c r="C16" s="389"/>
      <c r="D16" s="389"/>
      <c r="E16" s="389"/>
      <c r="F16" s="389"/>
      <c r="G16" s="389"/>
      <c r="H16" s="389"/>
      <c r="I16" s="389"/>
      <c r="J16" s="139"/>
      <c r="K16" s="139"/>
      <c r="L16" s="139"/>
      <c r="M16" s="139"/>
      <c r="N16" s="139"/>
      <c r="O16" s="139"/>
      <c r="P16" s="139"/>
      <c r="Q16" s="139"/>
    </row>
    <row r="17" spans="1:17" ht="12.75">
      <c r="A17" s="389"/>
      <c r="B17" s="389"/>
      <c r="C17" s="389"/>
      <c r="D17" s="389"/>
      <c r="E17" s="391"/>
      <c r="F17" s="389"/>
      <c r="G17" s="389"/>
      <c r="H17" s="389"/>
      <c r="I17" s="389"/>
      <c r="J17" s="139"/>
      <c r="K17" s="139"/>
      <c r="L17" s="139"/>
      <c r="M17" s="139"/>
      <c r="N17" s="139"/>
      <c r="O17" s="139"/>
      <c r="P17" s="139"/>
      <c r="Q17" s="139"/>
    </row>
    <row r="18" spans="1:17" ht="12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ht="12.75">
      <c r="A19" s="139"/>
      <c r="B19" s="38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7" ht="12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7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17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</row>
    <row r="25" spans="1:17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</sheetData>
  <sheetProtection/>
  <mergeCells count="12">
    <mergeCell ref="C11:D11"/>
    <mergeCell ref="F11:H11"/>
    <mergeCell ref="C13:D13"/>
    <mergeCell ref="F13:H13"/>
    <mergeCell ref="C9:D9"/>
    <mergeCell ref="F9:H9"/>
    <mergeCell ref="C3:D3"/>
    <mergeCell ref="F3:H3"/>
    <mergeCell ref="C5:D5"/>
    <mergeCell ref="F5:H5"/>
    <mergeCell ref="C7:D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O163"/>
  <sheetViews>
    <sheetView zoomScale="90" zoomScaleNormal="90" zoomScalePageLayoutView="0" workbookViewId="0" topLeftCell="A1">
      <pane ySplit="5" topLeftCell="A83" activePane="bottomLeft" state="frozen"/>
      <selection pane="topLeft" activeCell="M216" sqref="M216"/>
      <selection pane="bottomLeft" activeCell="I100" sqref="I100"/>
    </sheetView>
  </sheetViews>
  <sheetFormatPr defaultColWidth="9.140625" defaultRowHeight="12.75"/>
  <cols>
    <col min="1" max="1" width="4.00390625" style="436" customWidth="1"/>
    <col min="2" max="2" width="3.00390625" style="435" customWidth="1"/>
    <col min="3" max="3" width="11.28125" style="436" bestFit="1" customWidth="1"/>
    <col min="4" max="4" width="37.421875" style="436" customWidth="1"/>
    <col min="5" max="8" width="15.28125" style="435" customWidth="1"/>
    <col min="9" max="9" width="13.28125" style="436" customWidth="1"/>
    <col min="10" max="10" width="7.421875" style="436" customWidth="1"/>
    <col min="11" max="11" width="15.7109375" style="436" bestFit="1" customWidth="1"/>
    <col min="12" max="12" width="9.140625" style="436" customWidth="1"/>
    <col min="13" max="13" width="10.421875" style="436" customWidth="1"/>
    <col min="14" max="14" width="11.28125" style="436" bestFit="1" customWidth="1"/>
    <col min="15" max="16384" width="9.140625" style="436" customWidth="1"/>
  </cols>
  <sheetData>
    <row r="1" spans="2:8" ht="16.5" customHeight="1">
      <c r="B1" s="414" t="s">
        <v>244</v>
      </c>
      <c r="C1" s="414"/>
      <c r="D1" s="414"/>
      <c r="E1" s="176"/>
      <c r="F1" s="176"/>
      <c r="G1" s="176"/>
      <c r="H1" s="415"/>
    </row>
    <row r="2" spans="2:8" ht="42.75" customHeight="1">
      <c r="B2" s="2005" t="s">
        <v>13</v>
      </c>
      <c r="C2" s="2006"/>
      <c r="D2" s="2007"/>
      <c r="E2" s="193" t="s">
        <v>1</v>
      </c>
      <c r="F2" s="193" t="s">
        <v>83</v>
      </c>
      <c r="G2" s="193" t="s">
        <v>4</v>
      </c>
      <c r="H2" s="106" t="s">
        <v>5</v>
      </c>
    </row>
    <row r="3" spans="2:8" s="438" customFormat="1" ht="6" customHeight="1">
      <c r="B3" s="178"/>
      <c r="C3" s="179"/>
      <c r="D3" s="180"/>
      <c r="E3" s="897"/>
      <c r="F3" s="898"/>
      <c r="G3" s="897"/>
      <c r="H3" s="899"/>
    </row>
    <row r="4" spans="2:11" ht="15.75" customHeight="1">
      <c r="B4" s="118" t="s">
        <v>15</v>
      </c>
      <c r="C4" s="900" t="s">
        <v>16</v>
      </c>
      <c r="D4" s="901"/>
      <c r="E4" s="864">
        <f>SUM(E5:E45)</f>
        <v>700000</v>
      </c>
      <c r="F4" s="864" t="e">
        <f>SUM(F5:F45)</f>
        <v>#REF!</v>
      </c>
      <c r="G4" s="902">
        <f>SUM(G5:G45)</f>
        <v>0</v>
      </c>
      <c r="H4" s="864" t="e">
        <f>SUM(E4:G4)</f>
        <v>#REF!</v>
      </c>
      <c r="I4" s="442"/>
      <c r="K4" s="82"/>
    </row>
    <row r="5" spans="2:8" s="438" customFormat="1" ht="6" customHeight="1">
      <c r="B5" s="118"/>
      <c r="C5" s="192"/>
      <c r="D5" s="421"/>
      <c r="E5" s="122"/>
      <c r="F5" s="84"/>
      <c r="G5" s="122"/>
      <c r="H5" s="424"/>
    </row>
    <row r="6" spans="2:8" s="438" customFormat="1" ht="6" customHeight="1">
      <c r="B6" s="118"/>
      <c r="C6" s="192"/>
      <c r="D6" s="421"/>
      <c r="E6" s="122"/>
      <c r="F6" s="84"/>
      <c r="G6" s="122"/>
      <c r="H6" s="424"/>
    </row>
    <row r="7" spans="2:8" s="438" customFormat="1" ht="26.25" customHeight="1">
      <c r="B7" s="118"/>
      <c r="C7" s="192" t="str">
        <f>'AFS 4.1'!C11</f>
        <v>POC Enrive S.p.A.</v>
      </c>
      <c r="D7" s="421"/>
      <c r="E7" s="122">
        <v>700000</v>
      </c>
      <c r="F7" s="84"/>
      <c r="G7" s="122"/>
      <c r="H7" s="424"/>
    </row>
    <row r="8" spans="2:8" s="438" customFormat="1" ht="6" customHeight="1">
      <c r="B8" s="118"/>
      <c r="C8" s="192"/>
      <c r="D8" s="421"/>
      <c r="E8" s="122"/>
      <c r="F8" s="84"/>
      <c r="G8" s="122"/>
      <c r="H8" s="424"/>
    </row>
    <row r="9" spans="2:11" s="438" customFormat="1" ht="27.75" customHeight="1">
      <c r="B9" s="118"/>
      <c r="C9" s="192" t="str">
        <f>'AFS 4.1'!C17</f>
        <v>Fondo Sviluppo PMI (FVS S.G.R. SpA)</v>
      </c>
      <c r="D9" s="421"/>
      <c r="E9" s="423"/>
      <c r="F9" s="149">
        <v>2762191.6</v>
      </c>
      <c r="G9" s="423"/>
      <c r="H9" s="424"/>
      <c r="K9" s="393"/>
    </row>
    <row r="10" spans="2:8" ht="15.75" customHeight="1">
      <c r="B10" s="118"/>
      <c r="C10" s="903" t="s">
        <v>213</v>
      </c>
      <c r="D10" s="421"/>
      <c r="E10" s="222"/>
      <c r="F10" s="149"/>
      <c r="G10" s="904"/>
      <c r="H10" s="424"/>
    </row>
    <row r="11" spans="2:8" ht="6" customHeight="1">
      <c r="B11" s="118"/>
      <c r="C11" s="903"/>
      <c r="D11" s="421"/>
      <c r="E11" s="222"/>
      <c r="F11" s="149"/>
      <c r="G11" s="904"/>
      <c r="H11" s="424"/>
    </row>
    <row r="12" spans="2:8" s="438" customFormat="1" ht="15.75" customHeight="1">
      <c r="B12" s="118"/>
      <c r="C12" s="905" t="str">
        <f>Riepilogo!D12</f>
        <v>Develon S.r.l.</v>
      </c>
      <c r="D12" s="421"/>
      <c r="E12" s="149"/>
      <c r="F12" s="149">
        <f>Riepilogo!AC12</f>
        <v>2000000.0000000002</v>
      </c>
      <c r="G12" s="149"/>
      <c r="H12" s="854"/>
    </row>
    <row r="13" spans="2:8" s="438" customFormat="1" ht="6" customHeight="1">
      <c r="B13" s="118"/>
      <c r="C13" s="192"/>
      <c r="D13" s="421"/>
      <c r="E13" s="423"/>
      <c r="F13" s="149"/>
      <c r="G13" s="423"/>
      <c r="H13" s="424"/>
    </row>
    <row r="14" spans="2:8" s="438" customFormat="1" ht="15.75" customHeight="1">
      <c r="B14" s="118"/>
      <c r="C14" s="905" t="str">
        <f>Riepilogo!D34</f>
        <v>H-Farm S.p.A.</v>
      </c>
      <c r="D14" s="421"/>
      <c r="E14" s="149"/>
      <c r="F14" s="149">
        <f>Riepilogo!AC34</f>
        <v>1204875</v>
      </c>
      <c r="G14" s="149"/>
      <c r="H14" s="854"/>
    </row>
    <row r="15" spans="2:8" s="438" customFormat="1" ht="6" customHeight="1">
      <c r="B15" s="118"/>
      <c r="C15" s="192"/>
      <c r="D15" s="421"/>
      <c r="E15" s="423"/>
      <c r="F15" s="149"/>
      <c r="G15" s="423"/>
      <c r="H15" s="424"/>
    </row>
    <row r="16" spans="2:8" s="438" customFormat="1" ht="15.75" customHeight="1">
      <c r="B16" s="118"/>
      <c r="C16" s="905" t="str">
        <f>Riepilogo!D36</f>
        <v>WearIT S.r.l.</v>
      </c>
      <c r="D16" s="421"/>
      <c r="E16" s="423"/>
      <c r="F16" s="149">
        <f>Riepilogo!AC36</f>
        <v>1</v>
      </c>
      <c r="G16" s="423"/>
      <c r="H16" s="854"/>
    </row>
    <row r="17" spans="2:8" s="438" customFormat="1" ht="6" customHeight="1">
      <c r="B17" s="118"/>
      <c r="C17" s="192"/>
      <c r="D17" s="421"/>
      <c r="E17" s="423"/>
      <c r="F17" s="149"/>
      <c r="G17" s="423"/>
      <c r="H17" s="424"/>
    </row>
    <row r="18" spans="2:8" s="438" customFormat="1" ht="15.75" customHeight="1">
      <c r="B18" s="118"/>
      <c r="C18" s="903" t="s">
        <v>29</v>
      </c>
      <c r="D18" s="421"/>
      <c r="E18" s="149"/>
      <c r="F18" s="149"/>
      <c r="G18" s="149"/>
      <c r="H18" s="854"/>
    </row>
    <row r="19" spans="2:8" s="438" customFormat="1" ht="6" customHeight="1">
      <c r="B19" s="118"/>
      <c r="C19" s="192"/>
      <c r="D19" s="421"/>
      <c r="E19" s="423"/>
      <c r="F19" s="149"/>
      <c r="G19" s="423"/>
      <c r="H19" s="424"/>
    </row>
    <row r="20" spans="2:8" ht="15.75" customHeight="1">
      <c r="B20" s="118"/>
      <c r="C20" s="192" t="str">
        <f>Riepilogo!D73</f>
        <v>Aeroporto di Treviso S.p.A. </v>
      </c>
      <c r="D20" s="421"/>
      <c r="E20" s="222"/>
      <c r="F20" s="149">
        <f>Riepilogo!AC73</f>
        <v>1339500</v>
      </c>
      <c r="G20" s="904"/>
      <c r="H20" s="424"/>
    </row>
    <row r="21" spans="2:8" s="438" customFormat="1" ht="6" customHeight="1">
      <c r="B21" s="118"/>
      <c r="C21" s="192"/>
      <c r="D21" s="421"/>
      <c r="E21" s="423"/>
      <c r="F21" s="149"/>
      <c r="G21" s="423"/>
      <c r="H21" s="424"/>
    </row>
    <row r="22" spans="2:14" ht="31.5" customHeight="1">
      <c r="B22" s="118"/>
      <c r="C22" s="1991" t="str">
        <f>Riepilogo!D75</f>
        <v>Aeroporto Valerio Catullo di Verona Villafranca S.p.A.</v>
      </c>
      <c r="D22" s="1992"/>
      <c r="E22" s="222"/>
      <c r="F22" s="149">
        <f>Riepilogo!AC75</f>
        <v>103173.35</v>
      </c>
      <c r="G22" s="904"/>
      <c r="H22" s="424"/>
      <c r="N22" s="82"/>
    </row>
    <row r="23" spans="2:8" s="438" customFormat="1" ht="6" customHeight="1">
      <c r="B23" s="118"/>
      <c r="C23" s="192"/>
      <c r="D23" s="421"/>
      <c r="E23" s="423"/>
      <c r="F23" s="149"/>
      <c r="G23" s="423"/>
      <c r="H23" s="424"/>
    </row>
    <row r="24" spans="2:14" ht="15.75" customHeight="1">
      <c r="B24" s="118"/>
      <c r="C24" s="192" t="str">
        <f>Riepilogo!D77</f>
        <v>Alpi Eagles S.p.A.</v>
      </c>
      <c r="D24" s="421"/>
      <c r="E24" s="222"/>
      <c r="F24" s="149">
        <f>Riepilogo!AC77</f>
        <v>1</v>
      </c>
      <c r="G24" s="904"/>
      <c r="H24" s="424"/>
      <c r="N24" s="82"/>
    </row>
    <row r="25" spans="2:8" s="438" customFormat="1" ht="6" customHeight="1">
      <c r="B25" s="118"/>
      <c r="C25" s="192"/>
      <c r="D25" s="421"/>
      <c r="E25" s="423"/>
      <c r="F25" s="149"/>
      <c r="G25" s="423"/>
      <c r="H25" s="424"/>
    </row>
    <row r="26" spans="2:8" ht="15.75" customHeight="1">
      <c r="B26" s="118"/>
      <c r="C26" s="2038" t="str">
        <f>Riepilogo!D79</f>
        <v>Attiva S.p.A. in liquidazione </v>
      </c>
      <c r="D26" s="2039"/>
      <c r="E26" s="222"/>
      <c r="F26" s="149">
        <f>Riepilogo!AC79</f>
        <v>1.0000000009313226</v>
      </c>
      <c r="G26" s="904"/>
      <c r="H26" s="424"/>
    </row>
    <row r="27" spans="2:8" ht="6" customHeight="1">
      <c r="B27" s="118"/>
      <c r="C27" s="192"/>
      <c r="D27" s="421"/>
      <c r="E27" s="222"/>
      <c r="F27" s="149"/>
      <c r="G27" s="904"/>
      <c r="H27" s="424"/>
    </row>
    <row r="28" spans="2:8" ht="15.75" customHeight="1">
      <c r="B28" s="118"/>
      <c r="C28" s="905" t="str">
        <f>Riepilogo!D81</f>
        <v>Autodromo del Veneto S.p.A.</v>
      </c>
      <c r="D28" s="421"/>
      <c r="E28" s="222"/>
      <c r="F28" s="149">
        <f>Riepilogo!AC81</f>
        <v>107500</v>
      </c>
      <c r="G28" s="904"/>
      <c r="H28" s="424"/>
    </row>
    <row r="29" spans="2:8" s="438" customFormat="1" ht="6" customHeight="1">
      <c r="B29" s="118"/>
      <c r="C29" s="192"/>
      <c r="D29" s="421"/>
      <c r="E29" s="423"/>
      <c r="F29" s="149"/>
      <c r="G29" s="423"/>
      <c r="H29" s="424"/>
    </row>
    <row r="30" spans="2:8" ht="31.5" customHeight="1">
      <c r="B30" s="118"/>
      <c r="C30" s="1991" t="str">
        <f>Riepilogo!D83</f>
        <v>Banca Popolare Etica soc. coop. per azioni</v>
      </c>
      <c r="D30" s="1992"/>
      <c r="E30" s="222"/>
      <c r="F30" s="149">
        <f>Riepilogo!AC83</f>
        <v>39500</v>
      </c>
      <c r="G30" s="904"/>
      <c r="H30" s="424"/>
    </row>
    <row r="31" spans="2:8" ht="6" customHeight="1">
      <c r="B31" s="118"/>
      <c r="C31" s="850"/>
      <c r="D31" s="851"/>
      <c r="E31" s="222"/>
      <c r="F31" s="149"/>
      <c r="G31" s="906"/>
      <c r="H31" s="424"/>
    </row>
    <row r="32" spans="2:8" ht="15.75" customHeight="1">
      <c r="B32" s="118"/>
      <c r="C32" s="1991" t="str">
        <f>Riepilogo!D85</f>
        <v>Bic Adriatico s.c. a r.l. in fallimento</v>
      </c>
      <c r="D32" s="1992"/>
      <c r="E32" s="907"/>
      <c r="F32" s="149">
        <f>Riepilogo!AC85</f>
        <v>1</v>
      </c>
      <c r="G32" s="904"/>
      <c r="H32" s="424"/>
    </row>
    <row r="33" spans="2:8" s="438" customFormat="1" ht="6" customHeight="1">
      <c r="B33" s="118"/>
      <c r="C33" s="192"/>
      <c r="D33" s="421"/>
      <c r="E33" s="423"/>
      <c r="F33" s="149"/>
      <c r="G33" s="423"/>
      <c r="H33" s="424"/>
    </row>
    <row r="34" spans="2:8" ht="31.5" customHeight="1">
      <c r="B34" s="118"/>
      <c r="C34" s="1991" t="str">
        <f>Riepilogo!D87</f>
        <v>Compagnia Investimenti e Sviluppo - C.I.S. S.p.A.</v>
      </c>
      <c r="D34" s="1992"/>
      <c r="E34" s="222"/>
      <c r="F34" s="149">
        <f>Riepilogo!AC87</f>
        <v>1.0000000009313226</v>
      </c>
      <c r="G34" s="904"/>
      <c r="H34" s="424"/>
    </row>
    <row r="35" spans="2:8" s="438" customFormat="1" ht="6" customHeight="1">
      <c r="B35" s="118"/>
      <c r="C35" s="192"/>
      <c r="D35" s="421"/>
      <c r="E35" s="423"/>
      <c r="F35" s="149"/>
      <c r="G35" s="423"/>
      <c r="H35" s="424"/>
    </row>
    <row r="36" spans="2:8" s="440" customFormat="1" ht="15.75" customHeight="1">
      <c r="B36" s="118"/>
      <c r="C36" s="905" t="str">
        <f>Riepilogo!D89</f>
        <v>Expo Venice S.p.A.</v>
      </c>
      <c r="D36" s="851"/>
      <c r="E36" s="222"/>
      <c r="F36" s="149">
        <f>Riepilogo!AC89</f>
        <v>1</v>
      </c>
      <c r="G36" s="904"/>
      <c r="H36" s="424"/>
    </row>
    <row r="37" spans="2:8" s="439" customFormat="1" ht="6" customHeight="1">
      <c r="B37" s="118"/>
      <c r="C37" s="192"/>
      <c r="D37" s="421"/>
      <c r="E37" s="423"/>
      <c r="F37" s="149"/>
      <c r="G37" s="423"/>
      <c r="H37" s="424"/>
    </row>
    <row r="38" spans="2:8" s="440" customFormat="1" ht="15.75" customHeight="1">
      <c r="B38" s="118"/>
      <c r="C38" s="1991" t="str">
        <f>Riepilogo!D91</f>
        <v>Finest S.p.A.</v>
      </c>
      <c r="D38" s="1992"/>
      <c r="E38" s="222"/>
      <c r="F38" s="149">
        <f>Riepilogo!AC91</f>
        <v>7657807.77</v>
      </c>
      <c r="G38" s="904"/>
      <c r="H38" s="424"/>
    </row>
    <row r="39" spans="2:8" s="438" customFormat="1" ht="6" customHeight="1">
      <c r="B39" s="118"/>
      <c r="C39" s="192"/>
      <c r="D39" s="421"/>
      <c r="E39" s="423"/>
      <c r="F39" s="149"/>
      <c r="G39" s="423"/>
      <c r="H39" s="424"/>
    </row>
    <row r="40" spans="2:8" ht="31.5" customHeight="1">
      <c r="B40" s="118"/>
      <c r="C40" s="1991" t="e">
        <f>Riepilogo!#REF!</f>
        <v>#REF!</v>
      </c>
      <c r="D40" s="1992"/>
      <c r="E40" s="907"/>
      <c r="F40" s="149" t="e">
        <f>Riepilogo!#REF!</f>
        <v>#REF!</v>
      </c>
      <c r="G40" s="904"/>
      <c r="H40" s="424"/>
    </row>
    <row r="41" spans="2:8" s="438" customFormat="1" ht="6" customHeight="1">
      <c r="B41" s="118"/>
      <c r="C41" s="192"/>
      <c r="D41" s="421"/>
      <c r="E41" s="423"/>
      <c r="F41" s="423"/>
      <c r="G41" s="423"/>
      <c r="H41" s="149"/>
    </row>
    <row r="42" spans="2:8" ht="15.75" customHeight="1">
      <c r="B42" s="118"/>
      <c r="C42" s="1991" t="str">
        <f>Riepilogo!D95</f>
        <v>Politecnico Calzaturiero soc. cons. a r.l.</v>
      </c>
      <c r="D42" s="1992"/>
      <c r="E42" s="907"/>
      <c r="F42" s="149">
        <f>Riepilogo!AC95</f>
        <v>96000</v>
      </c>
      <c r="G42" s="904"/>
      <c r="H42" s="424"/>
    </row>
    <row r="43" spans="2:8" s="438" customFormat="1" ht="6" customHeight="1">
      <c r="B43" s="118"/>
      <c r="C43" s="192"/>
      <c r="D43" s="421"/>
      <c r="E43" s="423"/>
      <c r="F43" s="149"/>
      <c r="G43" s="423"/>
      <c r="H43" s="424"/>
    </row>
    <row r="44" spans="2:8" ht="15.75" customHeight="1">
      <c r="B44" s="118"/>
      <c r="C44" s="1991" t="str">
        <f>Riepilogo!D97</f>
        <v>Xgroup S.p.A. in liquidazione</v>
      </c>
      <c r="D44" s="1992"/>
      <c r="E44" s="222"/>
      <c r="F44" s="149">
        <f>Riepilogo!AC97</f>
        <v>1</v>
      </c>
      <c r="G44" s="904"/>
      <c r="H44" s="424"/>
    </row>
    <row r="45" spans="2:8" s="438" customFormat="1" ht="6" customHeight="1">
      <c r="B45" s="175"/>
      <c r="C45" s="908"/>
      <c r="D45" s="909"/>
      <c r="E45" s="881"/>
      <c r="F45" s="910"/>
      <c r="G45" s="911"/>
      <c r="H45" s="912"/>
    </row>
    <row r="46" spans="2:8" s="438" customFormat="1" ht="6" customHeight="1">
      <c r="B46" s="178"/>
      <c r="C46" s="913"/>
      <c r="D46" s="914"/>
      <c r="E46" s="870"/>
      <c r="F46" s="897"/>
      <c r="G46" s="870"/>
      <c r="H46" s="871"/>
    </row>
    <row r="47" spans="2:9" ht="15.75" customHeight="1">
      <c r="B47" s="118" t="s">
        <v>17</v>
      </c>
      <c r="C47" s="915" t="s">
        <v>18</v>
      </c>
      <c r="D47" s="421"/>
      <c r="E47" s="864">
        <f>E49+E59+E65+E67+E69</f>
        <v>715889</v>
      </c>
      <c r="F47" s="864" t="e">
        <f>F49+F59+F65+F67+F69</f>
        <v>#REF!</v>
      </c>
      <c r="G47" s="865">
        <f>G49+G59+G65+G67+G69</f>
        <v>0</v>
      </c>
      <c r="H47" s="864" t="e">
        <f>SUM(E47:G47)</f>
        <v>#REF!</v>
      </c>
      <c r="I47" s="442"/>
    </row>
    <row r="48" spans="2:8" s="438" customFormat="1" ht="6" customHeight="1">
      <c r="B48" s="118"/>
      <c r="C48" s="192"/>
      <c r="D48" s="421"/>
      <c r="E48" s="423"/>
      <c r="F48" s="423"/>
      <c r="G48" s="423"/>
      <c r="H48" s="424"/>
    </row>
    <row r="49" spans="2:8" ht="18" customHeight="1">
      <c r="B49" s="118"/>
      <c r="C49" s="192" t="s">
        <v>19</v>
      </c>
      <c r="D49" s="421"/>
      <c r="E49" s="149">
        <f>+SUM(E52:E58)</f>
        <v>701174</v>
      </c>
      <c r="F49" s="149">
        <f>+SUM(F52:F58)</f>
        <v>1</v>
      </c>
      <c r="G49" s="877">
        <f>SUM(G52:G58)</f>
        <v>0</v>
      </c>
      <c r="H49" s="149"/>
    </row>
    <row r="50" spans="2:8" ht="6" customHeight="1">
      <c r="B50" s="118"/>
      <c r="C50" s="192"/>
      <c r="D50" s="421"/>
      <c r="E50" s="423"/>
      <c r="F50" s="423"/>
      <c r="G50" s="877"/>
      <c r="H50" s="149"/>
    </row>
    <row r="51" spans="2:8" ht="18" customHeight="1">
      <c r="B51" s="118"/>
      <c r="C51" s="903" t="s">
        <v>29</v>
      </c>
      <c r="D51" s="421"/>
      <c r="E51" s="423"/>
      <c r="F51" s="423"/>
      <c r="G51" s="877"/>
      <c r="H51" s="149"/>
    </row>
    <row r="52" spans="2:8" s="438" customFormat="1" ht="6" customHeight="1">
      <c r="B52" s="118"/>
      <c r="C52" s="192"/>
      <c r="D52" s="421"/>
      <c r="E52" s="423"/>
      <c r="F52" s="423"/>
      <c r="G52" s="423"/>
      <c r="H52" s="424"/>
    </row>
    <row r="53" spans="2:11" s="438" customFormat="1" ht="15.75" customHeight="1">
      <c r="B53" s="118"/>
      <c r="C53" s="905" t="str">
        <f>Riepilogo!D93</f>
        <v>Interporto di Venezia S.p.A.</v>
      </c>
      <c r="D53" s="421"/>
      <c r="E53" s="423"/>
      <c r="F53" s="423">
        <f>Riepilogo!AD93</f>
        <v>1</v>
      </c>
      <c r="G53" s="423"/>
      <c r="H53" s="424"/>
      <c r="J53" s="590"/>
      <c r="K53" s="392"/>
    </row>
    <row r="54" spans="2:11" s="438" customFormat="1" ht="5.25" customHeight="1">
      <c r="B54" s="118"/>
      <c r="C54" s="905"/>
      <c r="D54" s="421"/>
      <c r="E54" s="423"/>
      <c r="F54" s="423"/>
      <c r="G54" s="423"/>
      <c r="H54" s="424"/>
      <c r="J54" s="590"/>
      <c r="K54" s="392"/>
    </row>
    <row r="55" spans="2:11" s="438" customFormat="1" ht="14.25" customHeight="1">
      <c r="B55" s="118"/>
      <c r="C55" s="192" t="s">
        <v>672</v>
      </c>
      <c r="D55" s="421"/>
      <c r="E55" s="423">
        <v>250924</v>
      </c>
      <c r="F55" s="423"/>
      <c r="G55" s="423"/>
      <c r="H55" s="424"/>
      <c r="J55" s="590"/>
      <c r="K55" s="392"/>
    </row>
    <row r="56" spans="2:11" s="438" customFormat="1" ht="3.75" customHeight="1">
      <c r="B56" s="118"/>
      <c r="C56" s="905"/>
      <c r="D56" s="421"/>
      <c r="E56" s="423"/>
      <c r="F56" s="423"/>
      <c r="G56" s="423"/>
      <c r="H56" s="424"/>
      <c r="J56" s="590"/>
      <c r="K56" s="392"/>
    </row>
    <row r="57" spans="2:11" s="438" customFormat="1" ht="15.75" customHeight="1">
      <c r="B57" s="118"/>
      <c r="C57" s="192" t="s">
        <v>614</v>
      </c>
      <c r="D57" s="421"/>
      <c r="E57" s="423">
        <v>450250</v>
      </c>
      <c r="F57" s="423"/>
      <c r="G57" s="423"/>
      <c r="H57" s="424"/>
      <c r="J57" s="590"/>
      <c r="K57" s="392"/>
    </row>
    <row r="58" spans="2:8" s="438" customFormat="1" ht="6" customHeight="1">
      <c r="B58" s="118"/>
      <c r="C58" s="192"/>
      <c r="D58" s="421"/>
      <c r="E58" s="423"/>
      <c r="F58" s="423"/>
      <c r="G58" s="423"/>
      <c r="H58" s="424"/>
    </row>
    <row r="59" spans="2:11" s="441" customFormat="1" ht="18" customHeight="1">
      <c r="B59" s="879"/>
      <c r="C59" s="1991" t="s">
        <v>20</v>
      </c>
      <c r="D59" s="1992"/>
      <c r="E59" s="877">
        <v>0</v>
      </c>
      <c r="F59" s="149" t="e">
        <f>+SUM(F63:F63)</f>
        <v>#REF!</v>
      </c>
      <c r="G59" s="877">
        <v>0</v>
      </c>
      <c r="H59" s="428"/>
      <c r="K59" s="592"/>
    </row>
    <row r="60" spans="2:8" ht="6" customHeight="1">
      <c r="B60" s="118"/>
      <c r="C60" s="192"/>
      <c r="D60" s="421"/>
      <c r="E60" s="423"/>
      <c r="F60" s="423"/>
      <c r="G60" s="877"/>
      <c r="H60" s="149"/>
    </row>
    <row r="61" spans="2:8" ht="18" customHeight="1">
      <c r="B61" s="118"/>
      <c r="C61" s="903" t="s">
        <v>29</v>
      </c>
      <c r="D61" s="421"/>
      <c r="E61" s="423"/>
      <c r="F61" s="423"/>
      <c r="G61" s="877"/>
      <c r="H61" s="149"/>
    </row>
    <row r="62" spans="2:8" s="441" customFormat="1" ht="6" customHeight="1">
      <c r="B62" s="879"/>
      <c r="C62" s="850"/>
      <c r="D62" s="851"/>
      <c r="E62" s="877"/>
      <c r="F62" s="149"/>
      <c r="G62" s="877"/>
      <c r="H62" s="428"/>
    </row>
    <row r="63" spans="2:8" s="441" customFormat="1" ht="15.75" customHeight="1">
      <c r="B63" s="879"/>
      <c r="C63" s="905" t="e">
        <f>Riepilogo!#REF!</f>
        <v>#REF!</v>
      </c>
      <c r="D63" s="851"/>
      <c r="E63" s="877"/>
      <c r="F63" s="149" t="e">
        <f>Riepilogo!#REF!</f>
        <v>#REF!</v>
      </c>
      <c r="G63" s="877"/>
      <c r="H63" s="428"/>
    </row>
    <row r="64" spans="2:8" s="438" customFormat="1" ht="6" customHeight="1">
      <c r="B64" s="118"/>
      <c r="C64" s="192"/>
      <c r="D64" s="421"/>
      <c r="E64" s="423"/>
      <c r="F64" s="877"/>
      <c r="G64" s="423"/>
      <c r="H64" s="424"/>
    </row>
    <row r="65" spans="2:10" ht="18" customHeight="1">
      <c r="B65" s="118"/>
      <c r="C65" s="192" t="s">
        <v>30</v>
      </c>
      <c r="D65" s="421"/>
      <c r="E65" s="877">
        <v>0</v>
      </c>
      <c r="F65" s="877">
        <v>0</v>
      </c>
      <c r="G65" s="877">
        <v>0</v>
      </c>
      <c r="H65" s="428"/>
      <c r="J65" s="443"/>
    </row>
    <row r="66" spans="2:10" s="438" customFormat="1" ht="6" customHeight="1">
      <c r="B66" s="118"/>
      <c r="C66" s="192"/>
      <c r="D66" s="421"/>
      <c r="E66" s="423"/>
      <c r="F66" s="423"/>
      <c r="G66" s="423"/>
      <c r="H66" s="149"/>
      <c r="J66" s="444"/>
    </row>
    <row r="67" spans="2:11" ht="15.75" customHeight="1">
      <c r="B67" s="118"/>
      <c r="C67" s="1991" t="s">
        <v>31</v>
      </c>
      <c r="D67" s="1992"/>
      <c r="E67" s="877">
        <v>0</v>
      </c>
      <c r="F67" s="877">
        <v>0</v>
      </c>
      <c r="G67" s="877">
        <v>0</v>
      </c>
      <c r="H67" s="428"/>
      <c r="J67" s="443"/>
      <c r="K67" s="82"/>
    </row>
    <row r="68" spans="2:10" ht="6" customHeight="1">
      <c r="B68" s="118"/>
      <c r="C68" s="192"/>
      <c r="D68" s="421"/>
      <c r="E68" s="423"/>
      <c r="F68" s="423"/>
      <c r="G68" s="423"/>
      <c r="H68" s="149"/>
      <c r="J68" s="443"/>
    </row>
    <row r="69" spans="2:8" ht="15.75" customHeight="1">
      <c r="B69" s="118"/>
      <c r="C69" s="192" t="s">
        <v>32</v>
      </c>
      <c r="D69" s="421"/>
      <c r="E69" s="149">
        <f>+E71+E73</f>
        <v>14715</v>
      </c>
      <c r="F69" s="149">
        <f>+SUM(F75:F76)</f>
        <v>3061196</v>
      </c>
      <c r="G69" s="877">
        <v>0</v>
      </c>
      <c r="H69" s="428"/>
    </row>
    <row r="70" spans="2:8" ht="15.75" customHeight="1">
      <c r="B70" s="118"/>
      <c r="C70" s="192"/>
      <c r="D70" s="421"/>
      <c r="E70" s="423"/>
      <c r="F70" s="149"/>
      <c r="G70" s="877"/>
      <c r="H70" s="428"/>
    </row>
    <row r="71" spans="2:8" ht="15.75" customHeight="1">
      <c r="B71" s="118"/>
      <c r="C71" s="192" t="s">
        <v>614</v>
      </c>
      <c r="D71" s="421"/>
      <c r="E71" s="423">
        <v>600</v>
      </c>
      <c r="F71" s="149"/>
      <c r="G71" s="877"/>
      <c r="H71" s="428"/>
    </row>
    <row r="72" spans="2:8" ht="9.75" customHeight="1">
      <c r="B72" s="118"/>
      <c r="C72" s="192"/>
      <c r="D72" s="421"/>
      <c r="E72" s="423"/>
      <c r="F72" s="149"/>
      <c r="G72" s="877"/>
      <c r="H72" s="428"/>
    </row>
    <row r="73" spans="2:8" ht="15.75" customHeight="1">
      <c r="B73" s="118"/>
      <c r="C73" s="192" t="s">
        <v>615</v>
      </c>
      <c r="D73" s="421"/>
      <c r="E73" s="423">
        <v>14115</v>
      </c>
      <c r="F73" s="149"/>
      <c r="G73" s="877"/>
      <c r="H73" s="428"/>
    </row>
    <row r="74" spans="2:8" s="438" customFormat="1" ht="6" customHeight="1">
      <c r="B74" s="118"/>
      <c r="C74" s="192"/>
      <c r="D74" s="421"/>
      <c r="E74" s="877"/>
      <c r="F74" s="149"/>
      <c r="G74" s="877"/>
      <c r="H74" s="428"/>
    </row>
    <row r="75" spans="2:11" ht="18" customHeight="1">
      <c r="B75" s="118"/>
      <c r="C75" s="2038" t="s">
        <v>435</v>
      </c>
      <c r="D75" s="2039"/>
      <c r="E75" s="877"/>
      <c r="F75" s="149">
        <v>3061196</v>
      </c>
      <c r="G75" s="877"/>
      <c r="H75" s="428"/>
      <c r="K75" s="519"/>
    </row>
    <row r="76" spans="2:8" s="438" customFormat="1" ht="6" customHeight="1">
      <c r="B76" s="118"/>
      <c r="C76" s="192"/>
      <c r="D76" s="421"/>
      <c r="E76" s="877"/>
      <c r="F76" s="877"/>
      <c r="G76" s="877"/>
      <c r="H76" s="428"/>
    </row>
    <row r="77" spans="2:11" ht="18" customHeight="1">
      <c r="B77" s="118"/>
      <c r="C77" s="913"/>
      <c r="D77" s="914"/>
      <c r="E77" s="897"/>
      <c r="F77" s="897"/>
      <c r="G77" s="897"/>
      <c r="H77" s="871"/>
      <c r="K77" s="519"/>
    </row>
    <row r="78" spans="2:11" ht="15.75" customHeight="1">
      <c r="B78" s="118" t="s">
        <v>22</v>
      </c>
      <c r="C78" s="915" t="s">
        <v>23</v>
      </c>
      <c r="D78" s="421"/>
      <c r="E78" s="1090">
        <f>+E80+E82+E86+E94+E100+E106</f>
        <v>-250924</v>
      </c>
      <c r="F78" s="916">
        <f>F80+F82+F86+F94+F100+F106</f>
        <v>-4613279.28</v>
      </c>
      <c r="G78" s="902">
        <f>G80+G82+G86+G94+G100</f>
        <v>0</v>
      </c>
      <c r="H78" s="181">
        <f>SUM(E78:G78)</f>
        <v>-4864203.28</v>
      </c>
      <c r="K78" s="519"/>
    </row>
    <row r="79" spans="2:11" ht="5.25" customHeight="1">
      <c r="B79" s="118"/>
      <c r="C79" s="192"/>
      <c r="D79" s="421"/>
      <c r="E79" s="170"/>
      <c r="F79" s="215"/>
      <c r="G79" s="170"/>
      <c r="H79" s="424"/>
      <c r="K79" s="519"/>
    </row>
    <row r="80" spans="2:11" ht="14.25" customHeight="1">
      <c r="B80" s="118"/>
      <c r="C80" s="2038" t="s">
        <v>24</v>
      </c>
      <c r="D80" s="2039"/>
      <c r="E80" s="877">
        <v>0</v>
      </c>
      <c r="F80" s="877">
        <v>0</v>
      </c>
      <c r="G80" s="428">
        <v>0</v>
      </c>
      <c r="H80" s="428"/>
      <c r="K80" s="591"/>
    </row>
    <row r="81" spans="2:8" s="438" customFormat="1" ht="6" customHeight="1">
      <c r="B81" s="118"/>
      <c r="C81" s="192"/>
      <c r="D81" s="421"/>
      <c r="E81" s="877"/>
      <c r="F81" s="917"/>
      <c r="G81" s="428"/>
      <c r="H81" s="170"/>
    </row>
    <row r="82" spans="2:8" s="438" customFormat="1" ht="11.25" customHeight="1">
      <c r="B82" s="118"/>
      <c r="C82" s="2038" t="s">
        <v>25</v>
      </c>
      <c r="D82" s="2039"/>
      <c r="E82" s="918">
        <f>+E84</f>
        <v>-250924</v>
      </c>
      <c r="F82" s="428">
        <v>0</v>
      </c>
      <c r="G82" s="877">
        <v>0</v>
      </c>
      <c r="H82" s="428"/>
    </row>
    <row r="83" spans="2:8" ht="6" customHeight="1">
      <c r="B83" s="118"/>
      <c r="C83" s="192"/>
      <c r="D83" s="421"/>
      <c r="E83" s="170"/>
      <c r="F83" s="170"/>
      <c r="G83" s="918"/>
      <c r="H83" s="149"/>
    </row>
    <row r="84" spans="2:8" ht="21" customHeight="1">
      <c r="B84" s="118"/>
      <c r="C84" s="192" t="s">
        <v>672</v>
      </c>
      <c r="D84" s="421"/>
      <c r="E84" s="918">
        <f>-E55</f>
        <v>-250924</v>
      </c>
      <c r="F84" s="170"/>
      <c r="G84" s="918"/>
      <c r="H84" s="149"/>
    </row>
    <row r="85" spans="2:8" ht="6" customHeight="1">
      <c r="B85" s="118"/>
      <c r="C85" s="192"/>
      <c r="D85" s="421"/>
      <c r="E85" s="918"/>
      <c r="F85" s="170"/>
      <c r="G85" s="918"/>
      <c r="H85" s="149"/>
    </row>
    <row r="86" spans="2:8" ht="13.5" customHeight="1">
      <c r="B86" s="118"/>
      <c r="C86" s="1991" t="s">
        <v>26</v>
      </c>
      <c r="D86" s="1992"/>
      <c r="E86" s="877"/>
      <c r="F86" s="170">
        <f>SUM(F87:F93)</f>
        <v>-270842.28</v>
      </c>
      <c r="G86" s="877">
        <v>0</v>
      </c>
      <c r="H86" s="428"/>
    </row>
    <row r="87" spans="2:11" ht="6" customHeight="1">
      <c r="B87" s="118"/>
      <c r="C87" s="850"/>
      <c r="D87" s="851"/>
      <c r="E87" s="877"/>
      <c r="F87" s="170"/>
      <c r="G87" s="877"/>
      <c r="H87" s="428"/>
      <c r="K87" s="593"/>
    </row>
    <row r="88" spans="2:11" ht="18" customHeight="1">
      <c r="B88" s="118"/>
      <c r="C88" s="1991" t="s">
        <v>435</v>
      </c>
      <c r="D88" s="1992"/>
      <c r="E88" s="877"/>
      <c r="F88" s="170">
        <v>-419889.78</v>
      </c>
      <c r="G88" s="877"/>
      <c r="H88" s="428"/>
      <c r="K88" s="597"/>
    </row>
    <row r="89" spans="2:11" s="438" customFormat="1" ht="6" customHeight="1">
      <c r="B89" s="118"/>
      <c r="C89" s="919"/>
      <c r="D89" s="920"/>
      <c r="E89" s="877"/>
      <c r="F89" s="170"/>
      <c r="G89" s="877"/>
      <c r="H89" s="428"/>
      <c r="K89" s="594"/>
    </row>
    <row r="90" spans="2:15" s="441" customFormat="1" ht="18" customHeight="1">
      <c r="B90" s="879"/>
      <c r="C90" s="2036" t="s">
        <v>213</v>
      </c>
      <c r="D90" s="2037"/>
      <c r="E90" s="877"/>
      <c r="F90" s="170"/>
      <c r="G90" s="877"/>
      <c r="H90" s="428"/>
      <c r="K90" s="841"/>
      <c r="L90" s="436"/>
      <c r="N90" s="842"/>
      <c r="O90" s="436"/>
    </row>
    <row r="91" spans="2:11" s="441" customFormat="1" ht="6" customHeight="1">
      <c r="B91" s="879"/>
      <c r="C91" s="850"/>
      <c r="D91" s="851"/>
      <c r="E91" s="428"/>
      <c r="F91" s="170"/>
      <c r="G91" s="877"/>
      <c r="H91" s="428"/>
      <c r="K91" s="595"/>
    </row>
    <row r="92" spans="2:12" s="441" customFormat="1" ht="18" customHeight="1">
      <c r="B92" s="879"/>
      <c r="C92" s="905" t="str">
        <f>Riepilogo!D34</f>
        <v>H-Farm S.p.A.</v>
      </c>
      <c r="D92" s="851"/>
      <c r="E92" s="428"/>
      <c r="F92" s="170">
        <f>Riepilogo!AK34+Riepilogo!AL34</f>
        <v>149047.5</v>
      </c>
      <c r="G92" s="877"/>
      <c r="H92" s="428"/>
      <c r="K92" s="840"/>
      <c r="L92" s="436"/>
    </row>
    <row r="93" spans="2:11" s="441" customFormat="1" ht="6" customHeight="1">
      <c r="B93" s="879"/>
      <c r="C93" s="850"/>
      <c r="D93" s="851"/>
      <c r="E93" s="428"/>
      <c r="F93" s="170"/>
      <c r="G93" s="877"/>
      <c r="H93" s="428"/>
      <c r="K93" s="840"/>
    </row>
    <row r="94" spans="2:11" s="441" customFormat="1" ht="15.75" customHeight="1">
      <c r="B94" s="879"/>
      <c r="C94" s="192" t="s">
        <v>33</v>
      </c>
      <c r="D94" s="421"/>
      <c r="E94" s="877"/>
      <c r="F94" s="170">
        <f>SUM(F98:F99)</f>
        <v>0</v>
      </c>
      <c r="G94" s="877">
        <v>0</v>
      </c>
      <c r="H94" s="428"/>
      <c r="K94" s="595"/>
    </row>
    <row r="95" spans="2:12" s="441" customFormat="1" ht="6" customHeight="1">
      <c r="B95" s="879"/>
      <c r="C95" s="192"/>
      <c r="D95" s="421"/>
      <c r="E95" s="877"/>
      <c r="F95" s="170"/>
      <c r="G95" s="877"/>
      <c r="H95" s="428"/>
      <c r="K95" s="597"/>
      <c r="L95" s="436"/>
    </row>
    <row r="96" spans="2:11" s="441" customFormat="1" ht="16.5" customHeight="1">
      <c r="B96" s="879"/>
      <c r="C96" s="2036" t="s">
        <v>213</v>
      </c>
      <c r="D96" s="2037"/>
      <c r="E96" s="877"/>
      <c r="F96" s="170"/>
      <c r="G96" s="877"/>
      <c r="H96" s="428"/>
      <c r="K96" s="595"/>
    </row>
    <row r="97" spans="2:8" s="438" customFormat="1" ht="6.75" customHeight="1">
      <c r="B97" s="118"/>
      <c r="C97" s="919"/>
      <c r="D97" s="920"/>
      <c r="E97" s="423"/>
      <c r="F97" s="149"/>
      <c r="G97" s="423"/>
      <c r="H97" s="424"/>
    </row>
    <row r="98" spans="2:11" ht="18" customHeight="1">
      <c r="B98" s="118"/>
      <c r="C98" s="905" t="str">
        <f>Riepilogo!D36</f>
        <v>WearIT S.r.l.</v>
      </c>
      <c r="D98" s="421"/>
      <c r="E98" s="877"/>
      <c r="F98" s="170">
        <f>Riepilogo!AI36</f>
        <v>0</v>
      </c>
      <c r="G98" s="877"/>
      <c r="H98" s="428"/>
      <c r="K98" s="595"/>
    </row>
    <row r="99" spans="2:8" ht="5.25" customHeight="1">
      <c r="B99" s="118"/>
      <c r="C99" s="192"/>
      <c r="D99" s="421"/>
      <c r="E99" s="423"/>
      <c r="F99" s="149"/>
      <c r="G99" s="423"/>
      <c r="H99" s="424"/>
    </row>
    <row r="100" spans="2:8" ht="18" customHeight="1">
      <c r="B100" s="118"/>
      <c r="C100" s="1991" t="s">
        <v>58</v>
      </c>
      <c r="D100" s="1992"/>
      <c r="E100" s="877"/>
      <c r="F100" s="170">
        <f>SUM(F104)</f>
        <v>-2000000.0000000002</v>
      </c>
      <c r="G100" s="877">
        <v>0</v>
      </c>
      <c r="H100" s="428"/>
    </row>
    <row r="101" spans="2:8" s="439" customFormat="1" ht="6" customHeight="1">
      <c r="B101" s="118"/>
      <c r="C101" s="850"/>
      <c r="D101" s="851"/>
      <c r="E101" s="428"/>
      <c r="F101" s="170"/>
      <c r="G101" s="877"/>
      <c r="H101" s="428"/>
    </row>
    <row r="102" spans="2:8" s="439" customFormat="1" ht="18" customHeight="1">
      <c r="B102" s="118"/>
      <c r="C102" s="2036" t="s">
        <v>213</v>
      </c>
      <c r="D102" s="2037"/>
      <c r="E102" s="428"/>
      <c r="F102" s="170"/>
      <c r="G102" s="877"/>
      <c r="H102" s="428"/>
    </row>
    <row r="103" spans="2:8" s="439" customFormat="1" ht="6" customHeight="1">
      <c r="B103" s="118"/>
      <c r="C103" s="850"/>
      <c r="D103" s="851"/>
      <c r="E103" s="428"/>
      <c r="F103" s="170"/>
      <c r="G103" s="877"/>
      <c r="H103" s="428"/>
    </row>
    <row r="104" spans="2:8" ht="15.75" customHeight="1">
      <c r="B104" s="118"/>
      <c r="C104" s="905" t="str">
        <f>Riepilogo!D12</f>
        <v>Develon S.r.l.</v>
      </c>
      <c r="D104" s="851"/>
      <c r="E104" s="428"/>
      <c r="F104" s="170">
        <f>-Riepilogo!AC12</f>
        <v>-2000000.0000000002</v>
      </c>
      <c r="G104" s="877"/>
      <c r="H104" s="428"/>
    </row>
    <row r="105" spans="2:8" ht="15.75" customHeight="1">
      <c r="B105" s="118"/>
      <c r="C105" s="905"/>
      <c r="D105" s="851"/>
      <c r="E105" s="428"/>
      <c r="F105" s="170"/>
      <c r="G105" s="877"/>
      <c r="H105" s="428"/>
    </row>
    <row r="106" spans="2:8" ht="15.75" customHeight="1">
      <c r="B106" s="118"/>
      <c r="C106" s="192" t="s">
        <v>670</v>
      </c>
      <c r="D106" s="851"/>
      <c r="E106" s="428"/>
      <c r="F106" s="170">
        <f>SUM(F108)</f>
        <v>-2342437</v>
      </c>
      <c r="G106" s="877"/>
      <c r="H106" s="428"/>
    </row>
    <row r="107" spans="2:8" ht="15.75" customHeight="1">
      <c r="B107" s="118"/>
      <c r="C107" s="192"/>
      <c r="D107" s="851"/>
      <c r="E107" s="428"/>
      <c r="F107" s="170"/>
      <c r="G107" s="877"/>
      <c r="H107" s="428"/>
    </row>
    <row r="108" spans="2:8" ht="15.75" customHeight="1">
      <c r="B108" s="118"/>
      <c r="C108" s="2038" t="s">
        <v>435</v>
      </c>
      <c r="D108" s="2039"/>
      <c r="E108" s="428"/>
      <c r="F108" s="170">
        <v>-2342437</v>
      </c>
      <c r="G108" s="877"/>
      <c r="H108" s="428"/>
    </row>
    <row r="109" spans="2:8" ht="15.75" customHeight="1">
      <c r="B109" s="118"/>
      <c r="C109" s="905"/>
      <c r="D109" s="851"/>
      <c r="E109" s="428"/>
      <c r="F109" s="170"/>
      <c r="G109" s="877"/>
      <c r="H109" s="428"/>
    </row>
    <row r="110" spans="2:8" s="439" customFormat="1" ht="6" customHeight="1">
      <c r="B110" s="118"/>
      <c r="C110" s="192"/>
      <c r="D110" s="421"/>
      <c r="E110" s="149"/>
      <c r="F110" s="149"/>
      <c r="G110" s="423"/>
      <c r="H110" s="424"/>
    </row>
    <row r="111" spans="2:8" ht="6" customHeight="1">
      <c r="B111" s="118"/>
      <c r="C111" s="913"/>
      <c r="D111" s="914"/>
      <c r="E111" s="870"/>
      <c r="F111" s="897"/>
      <c r="G111" s="870"/>
      <c r="H111" s="871"/>
    </row>
    <row r="112" spans="2:8" ht="15.75" customHeight="1">
      <c r="B112" s="118" t="s">
        <v>27</v>
      </c>
      <c r="C112" s="900" t="s">
        <v>28</v>
      </c>
      <c r="D112" s="901"/>
      <c r="E112" s="866">
        <f>SUM(E115:E154)</f>
        <v>1164965</v>
      </c>
      <c r="F112" s="864" t="e">
        <f>SUM(F113:F154)</f>
        <v>#REF!</v>
      </c>
      <c r="G112" s="865">
        <f>SUM(G115:G154)</f>
        <v>0</v>
      </c>
      <c r="H112" s="864" t="e">
        <f>SUM(E112:G112)</f>
        <v>#REF!</v>
      </c>
    </row>
    <row r="113" spans="2:8" s="438" customFormat="1" ht="6" customHeight="1">
      <c r="B113" s="118"/>
      <c r="C113" s="192"/>
      <c r="D113" s="421"/>
      <c r="E113" s="149"/>
      <c r="F113" s="428"/>
      <c r="G113" s="423"/>
      <c r="H113" s="854"/>
    </row>
    <row r="114" spans="2:8" s="438" customFormat="1" ht="19.5" customHeight="1">
      <c r="B114" s="118"/>
      <c r="C114" s="2038" t="str">
        <f>'AFS 4.1'!C17</f>
        <v>Fondo Sviluppo PMI (FVS S.G.R. SpA)</v>
      </c>
      <c r="D114" s="2039"/>
      <c r="E114" s="149"/>
      <c r="F114" s="149">
        <f>'AFS 4.1'!G17</f>
        <v>3061060.4</v>
      </c>
      <c r="G114" s="423"/>
      <c r="H114" s="854"/>
    </row>
    <row r="115" spans="2:8" s="438" customFormat="1" ht="18.75" customHeight="1">
      <c r="B115" s="118"/>
      <c r="C115" s="903" t="s">
        <v>213</v>
      </c>
      <c r="D115" s="421"/>
      <c r="E115" s="149"/>
      <c r="F115" s="149"/>
      <c r="G115" s="423"/>
      <c r="H115" s="854"/>
    </row>
    <row r="116" spans="2:8" s="438" customFormat="1" ht="6" customHeight="1">
      <c r="B116" s="118"/>
      <c r="C116" s="192"/>
      <c r="D116" s="421"/>
      <c r="E116" s="149"/>
      <c r="F116" s="428"/>
      <c r="G116" s="423"/>
      <c r="H116" s="854"/>
    </row>
    <row r="117" spans="2:8" s="438" customFormat="1" ht="15" customHeight="1">
      <c r="B117" s="118"/>
      <c r="C117" s="905" t="str">
        <f>Riepilogo!D34</f>
        <v>H-Farm S.p.A.</v>
      </c>
      <c r="D117" s="421"/>
      <c r="E117" s="222"/>
      <c r="F117" s="149">
        <f>Riepilogo!AM34</f>
        <v>1353922.5</v>
      </c>
      <c r="G117" s="904"/>
      <c r="H117" s="424"/>
    </row>
    <row r="118" spans="2:8" s="438" customFormat="1" ht="6" customHeight="1">
      <c r="B118" s="118"/>
      <c r="C118" s="905"/>
      <c r="D118" s="421"/>
      <c r="E118" s="222"/>
      <c r="F118" s="149"/>
      <c r="G118" s="904"/>
      <c r="H118" s="424"/>
    </row>
    <row r="119" spans="2:8" s="438" customFormat="1" ht="15" customHeight="1">
      <c r="B119" s="118"/>
      <c r="C119" s="905" t="str">
        <f>Riepilogo!D36</f>
        <v>WearIT S.r.l.</v>
      </c>
      <c r="D119" s="421"/>
      <c r="E119" s="222"/>
      <c r="F119" s="149">
        <f>Riepilogo!AM36</f>
        <v>1</v>
      </c>
      <c r="G119" s="904"/>
      <c r="H119" s="424"/>
    </row>
    <row r="120" spans="2:8" s="438" customFormat="1" ht="6" customHeight="1">
      <c r="B120" s="118"/>
      <c r="C120" s="192"/>
      <c r="D120" s="421"/>
      <c r="E120" s="149"/>
      <c r="F120" s="428"/>
      <c r="G120" s="149"/>
      <c r="H120" s="854"/>
    </row>
    <row r="121" spans="2:11" ht="15" customHeight="1">
      <c r="B121" s="118"/>
      <c r="C121" s="903" t="s">
        <v>29</v>
      </c>
      <c r="D121" s="421"/>
      <c r="E121" s="149"/>
      <c r="F121" s="149"/>
      <c r="G121" s="149"/>
      <c r="H121" s="854"/>
      <c r="K121" s="618"/>
    </row>
    <row r="122" spans="2:8" ht="6" customHeight="1">
      <c r="B122" s="118"/>
      <c r="C122" s="192"/>
      <c r="D122" s="421"/>
      <c r="E122" s="149"/>
      <c r="F122" s="428"/>
      <c r="G122" s="149"/>
      <c r="H122" s="854"/>
    </row>
    <row r="123" spans="2:8" ht="15" customHeight="1">
      <c r="B123" s="118"/>
      <c r="C123" s="192" t="str">
        <f>Riepilogo!D73</f>
        <v>Aeroporto di Treviso S.p.A. </v>
      </c>
      <c r="D123" s="421"/>
      <c r="E123" s="222"/>
      <c r="F123" s="149">
        <f>Riepilogo!AM73</f>
        <v>1339500</v>
      </c>
      <c r="G123" s="904"/>
      <c r="H123" s="424"/>
    </row>
    <row r="124" spans="2:8" s="438" customFormat="1" ht="6" customHeight="1">
      <c r="B124" s="118"/>
      <c r="C124" s="192"/>
      <c r="D124" s="421"/>
      <c r="E124" s="423"/>
      <c r="F124" s="149"/>
      <c r="G124" s="423"/>
      <c r="H124" s="424"/>
    </row>
    <row r="125" spans="2:8" s="438" customFormat="1" ht="15" customHeight="1">
      <c r="B125" s="118"/>
      <c r="C125" s="1991" t="str">
        <f>Riepilogo!D75</f>
        <v>Aeroporto Valerio Catullo di Verona Villafranca S.p.A.</v>
      </c>
      <c r="D125" s="1992"/>
      <c r="E125" s="222"/>
      <c r="F125" s="149">
        <f>Riepilogo!AM75</f>
        <v>103173.35</v>
      </c>
      <c r="G125" s="904"/>
      <c r="H125" s="424"/>
    </row>
    <row r="126" spans="2:8" s="438" customFormat="1" ht="6" customHeight="1">
      <c r="B126" s="118"/>
      <c r="C126" s="192"/>
      <c r="D126" s="421"/>
      <c r="E126" s="423"/>
      <c r="F126" s="149"/>
      <c r="G126" s="423"/>
      <c r="H126" s="424"/>
    </row>
    <row r="127" spans="2:8" ht="15" customHeight="1">
      <c r="B127" s="118"/>
      <c r="C127" s="1991" t="str">
        <f>Riepilogo!D77</f>
        <v>Alpi Eagles S.p.A.</v>
      </c>
      <c r="D127" s="1992"/>
      <c r="E127" s="222"/>
      <c r="F127" s="149">
        <f>Riepilogo!AM77</f>
        <v>1</v>
      </c>
      <c r="G127" s="904"/>
      <c r="H127" s="424"/>
    </row>
    <row r="128" spans="2:8" s="438" customFormat="1" ht="6" customHeight="1">
      <c r="B128" s="118"/>
      <c r="C128" s="192"/>
      <c r="D128" s="421"/>
      <c r="E128" s="423"/>
      <c r="F128" s="149"/>
      <c r="G128" s="423"/>
      <c r="H128" s="424"/>
    </row>
    <row r="129" spans="2:8" ht="15" customHeight="1">
      <c r="B129" s="118"/>
      <c r="C129" s="1991" t="str">
        <f>Riepilogo!D79</f>
        <v>Attiva S.p.A. in liquidazione </v>
      </c>
      <c r="D129" s="1992"/>
      <c r="E129" s="222"/>
      <c r="F129" s="149">
        <f>Riepilogo!AM79</f>
        <v>1.0000000009313226</v>
      </c>
      <c r="G129" s="904"/>
      <c r="H129" s="424"/>
    </row>
    <row r="130" spans="2:8" s="438" customFormat="1" ht="6" customHeight="1">
      <c r="B130" s="118"/>
      <c r="C130" s="192"/>
      <c r="D130" s="421"/>
      <c r="E130" s="423"/>
      <c r="F130" s="149"/>
      <c r="G130" s="423"/>
      <c r="H130" s="424"/>
    </row>
    <row r="131" spans="2:8" ht="15" customHeight="1">
      <c r="B131" s="118"/>
      <c r="C131" s="1991" t="str">
        <f>Riepilogo!D81</f>
        <v>Autodromo del Veneto S.p.A.</v>
      </c>
      <c r="D131" s="1992"/>
      <c r="E131" s="222"/>
      <c r="F131" s="149">
        <f>Riepilogo!AM81</f>
        <v>1</v>
      </c>
      <c r="G131" s="904"/>
      <c r="H131" s="424"/>
    </row>
    <row r="132" spans="2:8" s="438" customFormat="1" ht="6" customHeight="1">
      <c r="B132" s="118"/>
      <c r="C132" s="192"/>
      <c r="D132" s="421"/>
      <c r="E132" s="423"/>
      <c r="F132" s="149"/>
      <c r="G132" s="423"/>
      <c r="H132" s="424"/>
    </row>
    <row r="133" spans="2:8" ht="15" customHeight="1">
      <c r="B133" s="118"/>
      <c r="C133" s="1991" t="str">
        <f>Riepilogo!D83</f>
        <v>Banca Popolare Etica soc. coop. per azioni</v>
      </c>
      <c r="D133" s="1992"/>
      <c r="E133" s="222"/>
      <c r="F133" s="149">
        <f>Riepilogo!AM83</f>
        <v>39500</v>
      </c>
      <c r="G133" s="904"/>
      <c r="H133" s="424"/>
    </row>
    <row r="134" spans="2:8" s="438" customFormat="1" ht="6" customHeight="1">
      <c r="B134" s="118"/>
      <c r="C134" s="192"/>
      <c r="D134" s="421"/>
      <c r="E134" s="423"/>
      <c r="F134" s="149"/>
      <c r="G134" s="423"/>
      <c r="H134" s="424"/>
    </row>
    <row r="135" spans="2:8" ht="15" customHeight="1">
      <c r="B135" s="118"/>
      <c r="C135" s="1991" t="str">
        <f>Riepilogo!D85</f>
        <v>Bic Adriatico s.c. a r.l. in fallimento</v>
      </c>
      <c r="D135" s="1992"/>
      <c r="E135" s="907"/>
      <c r="F135" s="149">
        <f>Riepilogo!AM85</f>
        <v>1</v>
      </c>
      <c r="G135" s="904"/>
      <c r="H135" s="424"/>
    </row>
    <row r="136" spans="2:8" s="438" customFormat="1" ht="6" customHeight="1">
      <c r="B136" s="118"/>
      <c r="C136" s="192"/>
      <c r="D136" s="421"/>
      <c r="E136" s="423"/>
      <c r="F136" s="149"/>
      <c r="G136" s="423"/>
      <c r="H136" s="424"/>
    </row>
    <row r="137" spans="2:8" ht="15" customHeight="1">
      <c r="B137" s="118"/>
      <c r="C137" s="1991" t="str">
        <f>Riepilogo!D87</f>
        <v>Compagnia Investimenti e Sviluppo - C.I.S. S.p.A.</v>
      </c>
      <c r="D137" s="1992"/>
      <c r="E137" s="222"/>
      <c r="F137" s="149">
        <f>Riepilogo!AM87</f>
        <v>1.0000000009313226</v>
      </c>
      <c r="G137" s="904"/>
      <c r="H137" s="424"/>
    </row>
    <row r="138" spans="2:8" s="438" customFormat="1" ht="6" customHeight="1">
      <c r="B138" s="118"/>
      <c r="C138" s="192"/>
      <c r="D138" s="421"/>
      <c r="E138" s="423"/>
      <c r="F138" s="149"/>
      <c r="G138" s="423"/>
      <c r="H138" s="424"/>
    </row>
    <row r="139" spans="2:8" s="438" customFormat="1" ht="15" customHeight="1">
      <c r="B139" s="118"/>
      <c r="C139" s="1991" t="str">
        <f>Riepilogo!D89</f>
        <v>Expo Venice S.p.A.</v>
      </c>
      <c r="D139" s="1992"/>
      <c r="E139" s="222"/>
      <c r="F139" s="149">
        <f>Riepilogo!AM89</f>
        <v>1</v>
      </c>
      <c r="G139" s="904"/>
      <c r="H139" s="424"/>
    </row>
    <row r="140" spans="2:8" s="438" customFormat="1" ht="6" customHeight="1">
      <c r="B140" s="118"/>
      <c r="C140" s="192"/>
      <c r="D140" s="421"/>
      <c r="E140" s="423"/>
      <c r="F140" s="149"/>
      <c r="G140" s="423"/>
      <c r="H140" s="424"/>
    </row>
    <row r="141" spans="2:8" s="438" customFormat="1" ht="15" customHeight="1">
      <c r="B141" s="118"/>
      <c r="C141" s="1991" t="str">
        <f>Riepilogo!D91</f>
        <v>Finest S.p.A.</v>
      </c>
      <c r="D141" s="1992"/>
      <c r="E141" s="222"/>
      <c r="F141" s="149">
        <f>Riepilogo!AM91</f>
        <v>7657807.77</v>
      </c>
      <c r="G141" s="904"/>
      <c r="H141" s="424"/>
    </row>
    <row r="142" spans="2:8" s="438" customFormat="1" ht="6" customHeight="1">
      <c r="B142" s="118"/>
      <c r="C142" s="192"/>
      <c r="D142" s="421"/>
      <c r="E142" s="423"/>
      <c r="F142" s="149"/>
      <c r="G142" s="423"/>
      <c r="H142" s="424"/>
    </row>
    <row r="143" spans="2:8" ht="15" customHeight="1">
      <c r="B143" s="118"/>
      <c r="C143" s="1991" t="e">
        <f>Riepilogo!#REF!</f>
        <v>#REF!</v>
      </c>
      <c r="D143" s="1992"/>
      <c r="E143" s="907"/>
      <c r="F143" s="149" t="e">
        <f>Riepilogo!#REF!</f>
        <v>#REF!</v>
      </c>
      <c r="G143" s="904"/>
      <c r="H143" s="424"/>
    </row>
    <row r="144" spans="2:8" s="438" customFormat="1" ht="6" customHeight="1">
      <c r="B144" s="118"/>
      <c r="C144" s="192"/>
      <c r="D144" s="421"/>
      <c r="E144" s="423"/>
      <c r="F144" s="149"/>
      <c r="G144" s="423"/>
      <c r="H144" s="424"/>
    </row>
    <row r="145" spans="2:8" ht="15" customHeight="1">
      <c r="B145" s="118"/>
      <c r="C145" s="1991" t="str">
        <f>Riepilogo!D95</f>
        <v>Politecnico Calzaturiero soc. cons. a r.l.</v>
      </c>
      <c r="D145" s="1992"/>
      <c r="E145" s="907"/>
      <c r="F145" s="149">
        <f>Riepilogo!AM95</f>
        <v>96000</v>
      </c>
      <c r="G145" s="904"/>
      <c r="H145" s="424"/>
    </row>
    <row r="146" spans="2:8" s="438" customFormat="1" ht="6" customHeight="1">
      <c r="B146" s="118"/>
      <c r="C146" s="192"/>
      <c r="D146" s="421"/>
      <c r="E146" s="423"/>
      <c r="F146" s="149"/>
      <c r="G146" s="423"/>
      <c r="H146" s="424"/>
    </row>
    <row r="147" spans="2:8" ht="15" customHeight="1">
      <c r="B147" s="118"/>
      <c r="C147" s="1991" t="str">
        <f>Riepilogo!D97</f>
        <v>Xgroup S.p.A. in liquidazione</v>
      </c>
      <c r="D147" s="1992"/>
      <c r="E147" s="222"/>
      <c r="F147" s="149">
        <f>Riepilogo!AM97</f>
        <v>1</v>
      </c>
      <c r="G147" s="906"/>
      <c r="H147" s="424"/>
    </row>
    <row r="148" spans="2:8" s="438" customFormat="1" ht="6" customHeight="1">
      <c r="B148" s="118"/>
      <c r="C148" s="192"/>
      <c r="D148" s="421"/>
      <c r="E148" s="423"/>
      <c r="F148" s="149"/>
      <c r="G148" s="423"/>
      <c r="H148" s="424"/>
    </row>
    <row r="149" spans="2:8" ht="15" customHeight="1">
      <c r="B149" s="118"/>
      <c r="C149" s="192" t="str">
        <f>C53</f>
        <v>Interporto di Venezia S.p.A.</v>
      </c>
      <c r="D149" s="851"/>
      <c r="E149" s="921"/>
      <c r="F149" s="149">
        <v>1</v>
      </c>
      <c r="G149" s="906"/>
      <c r="H149" s="424"/>
    </row>
    <row r="150" spans="2:8" s="438" customFormat="1" ht="6" customHeight="1">
      <c r="B150" s="118"/>
      <c r="C150" s="192"/>
      <c r="D150" s="421"/>
      <c r="E150" s="423"/>
      <c r="F150" s="149"/>
      <c r="G150" s="423"/>
      <c r="H150" s="424"/>
    </row>
    <row r="151" spans="2:8" s="438" customFormat="1" ht="16.5" customHeight="1">
      <c r="B151" s="118"/>
      <c r="C151" s="192" t="s">
        <v>614</v>
      </c>
      <c r="D151" s="421"/>
      <c r="E151" s="921">
        <f>+E55+E57+E84+E71</f>
        <v>450850</v>
      </c>
      <c r="F151" s="149"/>
      <c r="G151" s="423"/>
      <c r="H151" s="424"/>
    </row>
    <row r="152" spans="2:8" s="438" customFormat="1" ht="6" customHeight="1">
      <c r="B152" s="118"/>
      <c r="C152" s="192"/>
      <c r="D152" s="421"/>
      <c r="E152" s="423"/>
      <c r="F152" s="149"/>
      <c r="G152" s="423"/>
      <c r="H152" s="424"/>
    </row>
    <row r="153" spans="2:8" ht="15" customHeight="1">
      <c r="B153" s="118"/>
      <c r="C153" s="922" t="s">
        <v>390</v>
      </c>
      <c r="D153" s="851"/>
      <c r="E153" s="921">
        <f>+E7+E73</f>
        <v>714115</v>
      </c>
      <c r="F153" s="149"/>
      <c r="G153" s="906"/>
      <c r="H153" s="424"/>
    </row>
    <row r="154" spans="2:8" s="440" customFormat="1" ht="6.75" customHeight="1">
      <c r="B154" s="175"/>
      <c r="C154" s="908"/>
      <c r="D154" s="909"/>
      <c r="E154" s="880"/>
      <c r="F154" s="910"/>
      <c r="G154" s="881"/>
      <c r="H154" s="962"/>
    </row>
    <row r="155" spans="2:8" s="440" customFormat="1" ht="15.75" customHeight="1">
      <c r="B155" s="132"/>
      <c r="C155" s="192"/>
      <c r="D155" s="192"/>
      <c r="E155" s="963"/>
      <c r="F155" s="964"/>
      <c r="G155" s="963"/>
      <c r="H155" s="965"/>
    </row>
    <row r="156" spans="2:8" ht="6" customHeight="1">
      <c r="B156" s="85"/>
      <c r="H156" s="437"/>
    </row>
    <row r="157" spans="2:8" ht="15.75" customHeight="1">
      <c r="B157" s="85"/>
      <c r="C157" s="2040" t="s">
        <v>211</v>
      </c>
      <c r="D157" s="969"/>
      <c r="E157" s="504"/>
      <c r="F157" s="967" t="e">
        <f>F112-Riepilogo!AM99-Riepilogo!AM38-F114</f>
        <v>#REF!</v>
      </c>
      <c r="G157" s="966"/>
      <c r="H157" s="970" t="e">
        <f>H4+H78+H47-H112</f>
        <v>#REF!</v>
      </c>
    </row>
    <row r="158" spans="2:8" s="438" customFormat="1" ht="33.75" customHeight="1">
      <c r="B158" s="85"/>
      <c r="C158" s="2040"/>
      <c r="D158" s="504"/>
      <c r="E158" s="966"/>
      <c r="F158" s="966" t="e">
        <f>IF(F157=0,"quadra","non quadra")</f>
        <v>#REF!</v>
      </c>
      <c r="G158" s="966"/>
      <c r="H158" s="966" t="e">
        <f>IF(H157=0,"quadra","non quadra")</f>
        <v>#REF!</v>
      </c>
    </row>
    <row r="159" spans="2:8" s="438" customFormat="1" ht="15" customHeight="1">
      <c r="B159" s="85"/>
      <c r="C159" s="436"/>
      <c r="D159" s="436"/>
      <c r="E159" s="435"/>
      <c r="F159" s="435"/>
      <c r="G159" s="435"/>
      <c r="H159" s="968" t="s">
        <v>616</v>
      </c>
    </row>
    <row r="160" ht="15" customHeight="1"/>
    <row r="161" spans="2:6" ht="14.25">
      <c r="B161" s="436"/>
      <c r="E161" s="435" t="s">
        <v>442</v>
      </c>
      <c r="F161" s="596" t="e">
        <f>H112-F162-F163</f>
        <v>#REF!</v>
      </c>
    </row>
    <row r="162" spans="2:6" ht="14.25">
      <c r="B162" s="436"/>
      <c r="E162" s="435" t="s">
        <v>671</v>
      </c>
      <c r="F162" s="596">
        <f>+E151</f>
        <v>450850</v>
      </c>
    </row>
    <row r="163" spans="5:6" ht="14.25">
      <c r="E163" s="435" t="s">
        <v>443</v>
      </c>
      <c r="F163" s="596" t="e">
        <f>F117+F143</f>
        <v>#REF!</v>
      </c>
    </row>
  </sheetData>
  <sheetProtection/>
  <mergeCells count="36">
    <mergeCell ref="C90:D90"/>
    <mergeCell ref="C114:D114"/>
    <mergeCell ref="B2:D2"/>
    <mergeCell ref="C59:D59"/>
    <mergeCell ref="C32:D32"/>
    <mergeCell ref="C38:D38"/>
    <mergeCell ref="C42:D42"/>
    <mergeCell ref="C75:D75"/>
    <mergeCell ref="C80:D80"/>
    <mergeCell ref="C82:D82"/>
    <mergeCell ref="C157:C158"/>
    <mergeCell ref="C145:D145"/>
    <mergeCell ref="C22:D22"/>
    <mergeCell ref="C131:D131"/>
    <mergeCell ref="C67:D67"/>
    <mergeCell ref="C88:D88"/>
    <mergeCell ref="C147:D147"/>
    <mergeCell ref="C133:D133"/>
    <mergeCell ref="C129:D129"/>
    <mergeCell ref="C100:D100"/>
    <mergeCell ref="C26:D26"/>
    <mergeCell ref="C30:D30"/>
    <mergeCell ref="C34:D34"/>
    <mergeCell ref="C40:D40"/>
    <mergeCell ref="C44:D44"/>
    <mergeCell ref="C86:D86"/>
    <mergeCell ref="C127:D127"/>
    <mergeCell ref="C141:D141"/>
    <mergeCell ref="C139:D139"/>
    <mergeCell ref="C96:D96"/>
    <mergeCell ref="C102:D102"/>
    <mergeCell ref="C143:D143"/>
    <mergeCell ref="C137:D137"/>
    <mergeCell ref="C135:D135"/>
    <mergeCell ref="C125:D125"/>
    <mergeCell ref="C108:D108"/>
  </mergeCells>
  <printOptions/>
  <pageMargins left="0.35433070866141736" right="0.35433070866141736" top="0.2755905511811024" bottom="0.35433070866141736" header="0.15748031496062992" footer="0.15748031496062992"/>
  <pageSetup fitToHeight="2" fitToWidth="1" horizontalDpi="600" verticalDpi="600" orientation="portrait" paperSize="9" scale="96" r:id="rId1"/>
  <ignoredErrors>
    <ignoredError sqref="F112" formula="1"/>
    <ignoredError sqref="G49 E4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B1:K58"/>
  <sheetViews>
    <sheetView view="pageBreakPreview" zoomScale="90" zoomScaleNormal="70" zoomScaleSheetLayoutView="90" zoomScalePageLayoutView="0" workbookViewId="0" topLeftCell="A1">
      <pane xSplit="3" ySplit="2" topLeftCell="D3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M15" sqref="M15"/>
    </sheetView>
  </sheetViews>
  <sheetFormatPr defaultColWidth="9.140625" defaultRowHeight="12.75"/>
  <cols>
    <col min="1" max="1" width="5.421875" style="39" customWidth="1"/>
    <col min="2" max="2" width="3.8515625" style="65" bestFit="1" customWidth="1"/>
    <col min="3" max="3" width="27.421875" style="39" customWidth="1"/>
    <col min="4" max="9" width="15.7109375" style="120" customWidth="1"/>
    <col min="10" max="10" width="6.28125" style="482" customWidth="1"/>
    <col min="11" max="11" width="13.140625" style="482" bestFit="1" customWidth="1"/>
    <col min="12" max="16384" width="9.140625" style="39" customWidth="1"/>
  </cols>
  <sheetData>
    <row r="1" spans="2:3" ht="16.5" customHeight="1">
      <c r="B1" s="395" t="s">
        <v>245</v>
      </c>
      <c r="C1" s="148"/>
    </row>
    <row r="2" spans="2:9" ht="58.5" customHeight="1">
      <c r="B2" s="2041" t="s">
        <v>36</v>
      </c>
      <c r="C2" s="2042"/>
      <c r="D2" s="193" t="s">
        <v>334</v>
      </c>
      <c r="E2" s="193" t="s">
        <v>333</v>
      </c>
      <c r="F2" s="194" t="s">
        <v>38</v>
      </c>
      <c r="G2" s="195" t="s">
        <v>39</v>
      </c>
      <c r="H2" s="135" t="s">
        <v>37</v>
      </c>
      <c r="I2" s="226" t="s">
        <v>332</v>
      </c>
    </row>
    <row r="3" spans="2:11" s="10" customFormat="1" ht="6" customHeight="1">
      <c r="B3" s="1"/>
      <c r="C3" s="3"/>
      <c r="D3" s="470"/>
      <c r="E3" s="470"/>
      <c r="F3" s="471"/>
      <c r="G3" s="178"/>
      <c r="H3" s="196"/>
      <c r="I3" s="470"/>
      <c r="J3" s="483"/>
      <c r="K3" s="483"/>
    </row>
    <row r="4" spans="2:9" ht="30" customHeight="1">
      <c r="B4" s="80" t="s">
        <v>15</v>
      </c>
      <c r="C4" s="486" t="s">
        <v>45</v>
      </c>
      <c r="D4" s="184">
        <v>0</v>
      </c>
      <c r="E4" s="184">
        <v>0</v>
      </c>
      <c r="F4" s="184">
        <v>0</v>
      </c>
      <c r="G4" s="197">
        <v>0</v>
      </c>
      <c r="H4" s="184">
        <v>0</v>
      </c>
      <c r="I4" s="184">
        <v>0</v>
      </c>
    </row>
    <row r="5" spans="2:11" s="10" customFormat="1" ht="6" customHeight="1">
      <c r="B5" s="63"/>
      <c r="C5" s="27"/>
      <c r="D5" s="473"/>
      <c r="E5" s="473"/>
      <c r="F5" s="115"/>
      <c r="G5" s="175"/>
      <c r="H5" s="198"/>
      <c r="I5" s="473"/>
      <c r="J5" s="483"/>
      <c r="K5" s="483"/>
    </row>
    <row r="6" spans="2:11" s="10" customFormat="1" ht="6" customHeight="1">
      <c r="B6" s="1"/>
      <c r="C6" s="22"/>
      <c r="D6" s="474"/>
      <c r="E6" s="474"/>
      <c r="F6" s="114"/>
      <c r="G6" s="178"/>
      <c r="H6" s="196"/>
      <c r="I6" s="475"/>
      <c r="J6" s="483"/>
      <c r="K6" s="483"/>
    </row>
    <row r="7" spans="2:9" ht="30" customHeight="1">
      <c r="B7" s="80" t="s">
        <v>17</v>
      </c>
      <c r="C7" s="486" t="s">
        <v>46</v>
      </c>
      <c r="D7" s="184">
        <v>0</v>
      </c>
      <c r="E7" s="184">
        <v>0</v>
      </c>
      <c r="F7" s="184">
        <v>0</v>
      </c>
      <c r="G7" s="197">
        <v>0</v>
      </c>
      <c r="H7" s="184">
        <v>0</v>
      </c>
      <c r="I7" s="184">
        <v>0</v>
      </c>
    </row>
    <row r="8" spans="2:9" ht="6" customHeight="1">
      <c r="B8" s="472"/>
      <c r="C8" s="70"/>
      <c r="D8" s="184"/>
      <c r="E8" s="184"/>
      <c r="F8" s="73"/>
      <c r="G8" s="197"/>
      <c r="H8" s="184"/>
      <c r="I8" s="184"/>
    </row>
    <row r="9" spans="2:9" ht="18" customHeight="1">
      <c r="B9" s="472"/>
      <c r="C9" s="136" t="s">
        <v>214</v>
      </c>
      <c r="D9" s="184"/>
      <c r="E9" s="184"/>
      <c r="F9" s="184"/>
      <c r="G9" s="197"/>
      <c r="H9" s="184"/>
      <c r="I9" s="185"/>
    </row>
    <row r="10" spans="2:9" ht="6" customHeight="1">
      <c r="B10" s="472"/>
      <c r="C10" s="70"/>
      <c r="D10" s="184"/>
      <c r="E10" s="184"/>
      <c r="F10" s="73"/>
      <c r="G10" s="197"/>
      <c r="H10" s="184"/>
      <c r="I10" s="185"/>
    </row>
    <row r="11" spans="2:9" ht="12.75" customHeight="1">
      <c r="B11" s="472"/>
      <c r="C11" s="125" t="s">
        <v>29</v>
      </c>
      <c r="D11" s="184"/>
      <c r="E11" s="184"/>
      <c r="F11" s="184"/>
      <c r="G11" s="197"/>
      <c r="H11" s="184"/>
      <c r="I11" s="185"/>
    </row>
    <row r="12" spans="2:9" ht="6" customHeight="1">
      <c r="B12" s="472"/>
      <c r="C12" s="125"/>
      <c r="D12" s="184"/>
      <c r="E12" s="184"/>
      <c r="F12" s="184"/>
      <c r="G12" s="197"/>
      <c r="H12" s="184"/>
      <c r="I12" s="185"/>
    </row>
    <row r="13" spans="2:10" ht="57" customHeight="1">
      <c r="B13" s="83" t="s">
        <v>0</v>
      </c>
      <c r="C13" s="70" t="str">
        <f>Riepilogo!D69</f>
        <v>Enrive S.p.A.</v>
      </c>
      <c r="D13" s="102" t="s">
        <v>385</v>
      </c>
      <c r="E13" s="102" t="s">
        <v>385</v>
      </c>
      <c r="F13" s="73">
        <f>Riepilogo!G69*100</f>
        <v>50</v>
      </c>
      <c r="G13" s="73">
        <f>F13</f>
        <v>50</v>
      </c>
      <c r="H13" s="84">
        <f>Riepilogo!AM69</f>
        <v>1744985.04</v>
      </c>
      <c r="I13" s="184">
        <v>0</v>
      </c>
      <c r="J13" s="484">
        <f>Riepilogo!Q69</f>
        <v>15</v>
      </c>
    </row>
    <row r="14" spans="2:9" ht="6" customHeight="1">
      <c r="B14" s="83"/>
      <c r="C14" s="70"/>
      <c r="D14" s="75"/>
      <c r="E14" s="75"/>
      <c r="F14" s="73"/>
      <c r="G14" s="74"/>
      <c r="H14" s="84"/>
      <c r="I14" s="200"/>
    </row>
    <row r="15" spans="2:10" ht="57" customHeight="1">
      <c r="B15" s="124" t="s">
        <v>579</v>
      </c>
      <c r="C15" s="204" t="str">
        <f>Riepilogo!D60</f>
        <v>FVS S.G.R. S.p.A.</v>
      </c>
      <c r="D15" s="102" t="s">
        <v>335</v>
      </c>
      <c r="E15" s="75" t="s">
        <v>335</v>
      </c>
      <c r="F15" s="73">
        <f>Riepilogo!G60*100</f>
        <v>100</v>
      </c>
      <c r="G15" s="73">
        <f>F15</f>
        <v>100</v>
      </c>
      <c r="H15" s="84">
        <f>Riepilogo!AM60</f>
        <v>2410288.3600000003</v>
      </c>
      <c r="I15" s="184">
        <v>0</v>
      </c>
      <c r="J15" s="482">
        <f>+Riepilogo!Q60</f>
        <v>16</v>
      </c>
    </row>
    <row r="16" spans="2:9" ht="6" customHeight="1">
      <c r="B16" s="83"/>
      <c r="C16" s="70"/>
      <c r="D16" s="75"/>
      <c r="E16" s="75"/>
      <c r="F16" s="73"/>
      <c r="G16" s="74"/>
      <c r="H16" s="84"/>
      <c r="I16" s="200"/>
    </row>
    <row r="17" spans="2:10" ht="57" customHeight="1">
      <c r="B17" s="124" t="s">
        <v>580</v>
      </c>
      <c r="C17" s="204" t="str">
        <f>Riepilogo!D67</f>
        <v>APVS S.r.l.</v>
      </c>
      <c r="D17" s="102" t="s">
        <v>581</v>
      </c>
      <c r="E17" s="102" t="s">
        <v>581</v>
      </c>
      <c r="F17" s="73">
        <f>Riepilogo!G67*100</f>
        <v>51</v>
      </c>
      <c r="G17" s="73">
        <f>F17</f>
        <v>51</v>
      </c>
      <c r="H17" s="84">
        <f>Riepilogo!AM67</f>
        <v>16809532.21</v>
      </c>
      <c r="I17" s="184">
        <v>0</v>
      </c>
      <c r="J17" s="484">
        <f>Riepilogo!Q67</f>
        <v>43009</v>
      </c>
    </row>
    <row r="18" spans="2:11" s="10" customFormat="1" ht="6" customHeight="1">
      <c r="B18" s="63"/>
      <c r="C18" s="27"/>
      <c r="D18" s="473"/>
      <c r="E18" s="473"/>
      <c r="F18" s="115"/>
      <c r="G18" s="175"/>
      <c r="H18" s="198"/>
      <c r="I18" s="476"/>
      <c r="J18" s="483"/>
      <c r="K18" s="483"/>
    </row>
    <row r="19" spans="2:11" s="10" customFormat="1" ht="6" customHeight="1">
      <c r="B19" s="1"/>
      <c r="C19" s="22"/>
      <c r="D19" s="477"/>
      <c r="E19" s="477"/>
      <c r="F19" s="114"/>
      <c r="G19" s="178"/>
      <c r="H19" s="196"/>
      <c r="I19" s="474"/>
      <c r="J19" s="483"/>
      <c r="K19" s="483"/>
    </row>
    <row r="20" spans="2:9" ht="30" customHeight="1">
      <c r="B20" s="80" t="s">
        <v>22</v>
      </c>
      <c r="C20" s="486" t="s">
        <v>48</v>
      </c>
      <c r="D20" s="184"/>
      <c r="E20" s="184"/>
      <c r="F20" s="184"/>
      <c r="G20" s="197"/>
      <c r="H20" s="184"/>
      <c r="I20" s="184"/>
    </row>
    <row r="21" spans="2:9" ht="6" customHeight="1">
      <c r="B21" s="472"/>
      <c r="C21" s="70"/>
      <c r="D21" s="184"/>
      <c r="E21" s="184"/>
      <c r="F21" s="184"/>
      <c r="G21" s="197"/>
      <c r="H21" s="184"/>
      <c r="I21" s="184"/>
    </row>
    <row r="22" spans="2:9" ht="74.25" customHeight="1">
      <c r="B22" s="472"/>
      <c r="C22" s="478" t="s">
        <v>439</v>
      </c>
      <c r="D22" s="184"/>
      <c r="E22" s="184"/>
      <c r="F22" s="184"/>
      <c r="G22" s="197"/>
      <c r="H22" s="184"/>
      <c r="I22" s="185"/>
    </row>
    <row r="23" spans="2:9" ht="6" customHeight="1">
      <c r="B23" s="472"/>
      <c r="C23" s="70"/>
      <c r="D23" s="184"/>
      <c r="E23" s="184"/>
      <c r="F23" s="184"/>
      <c r="G23" s="197"/>
      <c r="H23" s="184"/>
      <c r="I23" s="184"/>
    </row>
    <row r="24" spans="2:9" ht="12.75" customHeight="1">
      <c r="B24" s="472"/>
      <c r="C24" s="125" t="s">
        <v>213</v>
      </c>
      <c r="D24" s="184"/>
      <c r="E24" s="184"/>
      <c r="F24" s="184"/>
      <c r="G24" s="197"/>
      <c r="H24" s="184"/>
      <c r="I24" s="185"/>
    </row>
    <row r="25" spans="2:9" ht="6" customHeight="1">
      <c r="B25" s="472"/>
      <c r="C25" s="70"/>
      <c r="D25" s="184"/>
      <c r="E25" s="184"/>
      <c r="F25" s="184"/>
      <c r="G25" s="197"/>
      <c r="H25" s="184"/>
      <c r="I25" s="184"/>
    </row>
    <row r="26" spans="2:10" ht="57" customHeight="1">
      <c r="B26" s="83" t="s">
        <v>0</v>
      </c>
      <c r="C26" s="70" t="str">
        <f>Riepilogo!D44</f>
        <v>Adaptica S.r.l.</v>
      </c>
      <c r="D26" s="75" t="s">
        <v>269</v>
      </c>
      <c r="E26" s="75" t="s">
        <v>269</v>
      </c>
      <c r="F26" s="73">
        <f>Riepilogo!G44*100</f>
        <v>21.17353458548488</v>
      </c>
      <c r="G26" s="73">
        <f>F26</f>
        <v>21.17353458548488</v>
      </c>
      <c r="H26" s="84">
        <f>Riepilogo!AM44</f>
        <v>642816.74</v>
      </c>
      <c r="I26" s="184">
        <v>0</v>
      </c>
      <c r="J26" s="484">
        <f>Riepilogo!Q44</f>
        <v>16</v>
      </c>
    </row>
    <row r="27" spans="2:9" ht="6" customHeight="1">
      <c r="B27" s="472"/>
      <c r="C27" s="70"/>
      <c r="D27" s="187"/>
      <c r="E27" s="187"/>
      <c r="F27" s="187"/>
      <c r="G27" s="199"/>
      <c r="H27" s="187"/>
      <c r="I27" s="186"/>
    </row>
    <row r="28" spans="2:10" ht="57" customHeight="1">
      <c r="B28" s="83" t="s">
        <v>2</v>
      </c>
      <c r="C28" s="70" t="str">
        <f>Riepilogo!D10</f>
        <v>Cielle S.r.l.</v>
      </c>
      <c r="D28" s="75" t="s">
        <v>232</v>
      </c>
      <c r="E28" s="75" t="s">
        <v>232</v>
      </c>
      <c r="F28" s="73">
        <f>Riepilogo!G10*100</f>
        <v>0</v>
      </c>
      <c r="G28" s="73">
        <f>F28</f>
        <v>0</v>
      </c>
      <c r="H28" s="84">
        <f>Riepilogo!AM10</f>
        <v>0</v>
      </c>
      <c r="I28" s="184">
        <v>0</v>
      </c>
      <c r="J28" s="484">
        <f>Riepilogo!Q10</f>
        <v>0</v>
      </c>
    </row>
    <row r="29" spans="2:10" ht="57" customHeight="1">
      <c r="B29" s="50" t="s">
        <v>3</v>
      </c>
      <c r="C29" s="204" t="str">
        <f>Riepilogo!D12</f>
        <v>Develon S.r.l.</v>
      </c>
      <c r="D29" s="843" t="s">
        <v>592</v>
      </c>
      <c r="E29" s="843" t="s">
        <v>592</v>
      </c>
      <c r="F29" s="73">
        <f>Riepilogo!G12*100</f>
        <v>32.99999954363784</v>
      </c>
      <c r="G29" s="73">
        <f>F29</f>
        <v>32.99999954363784</v>
      </c>
      <c r="H29" s="84">
        <f>Riepilogo!AM12</f>
        <v>2000000.0000000002</v>
      </c>
      <c r="I29" s="131">
        <v>0</v>
      </c>
      <c r="J29" s="482" t="s">
        <v>601</v>
      </c>
    </row>
    <row r="30" spans="2:9" ht="6" customHeight="1">
      <c r="B30" s="472"/>
      <c r="C30" s="70"/>
      <c r="D30" s="187"/>
      <c r="E30" s="187"/>
      <c r="F30" s="187"/>
      <c r="G30" s="199"/>
      <c r="H30" s="187"/>
      <c r="I30" s="187"/>
    </row>
    <row r="31" spans="2:10" ht="49.5" customHeight="1">
      <c r="B31" s="124" t="s">
        <v>227</v>
      </c>
      <c r="C31" s="70" t="str">
        <f>Riepilogo!D14</f>
        <v>Garmont International S.r.l.</v>
      </c>
      <c r="D31" s="102" t="s">
        <v>389</v>
      </c>
      <c r="E31" s="102" t="s">
        <v>389</v>
      </c>
      <c r="F31" s="73">
        <f>Riepilogo!G14*100</f>
        <v>0</v>
      </c>
      <c r="G31" s="73">
        <f>F31</f>
        <v>0</v>
      </c>
      <c r="H31" s="84">
        <f>Riepilogo!AM14</f>
        <v>0</v>
      </c>
      <c r="I31" s="184">
        <v>0</v>
      </c>
      <c r="J31" s="484">
        <f>Riepilogo!Q14</f>
        <v>0</v>
      </c>
    </row>
    <row r="32" spans="2:9" ht="6" customHeight="1">
      <c r="B32" s="124"/>
      <c r="C32" s="70"/>
      <c r="D32" s="153"/>
      <c r="E32" s="153"/>
      <c r="F32" s="151"/>
      <c r="G32" s="152"/>
      <c r="H32" s="154"/>
      <c r="I32" s="150"/>
    </row>
    <row r="33" spans="2:10" ht="57" customHeight="1">
      <c r="B33" s="83" t="s">
        <v>229</v>
      </c>
      <c r="C33" s="70" t="str">
        <f>Riepilogo!D16</f>
        <v>Interplanet S.r.l.</v>
      </c>
      <c r="D33" s="75" t="s">
        <v>336</v>
      </c>
      <c r="E33" s="75" t="s">
        <v>336</v>
      </c>
      <c r="F33" s="73">
        <f>Riepilogo!G16*100</f>
        <v>45.00004583329514</v>
      </c>
      <c r="G33" s="73">
        <f>F33</f>
        <v>45.00004583329514</v>
      </c>
      <c r="H33" s="84">
        <f>Riepilogo!AM16</f>
        <v>750000</v>
      </c>
      <c r="I33" s="184">
        <v>0</v>
      </c>
      <c r="J33" s="484">
        <f>Riepilogo!Q16</f>
        <v>16</v>
      </c>
    </row>
    <row r="34" spans="2:9" ht="6" customHeight="1">
      <c r="B34" s="124"/>
      <c r="C34" s="70"/>
      <c r="D34" s="153"/>
      <c r="E34" s="153"/>
      <c r="F34" s="151"/>
      <c r="G34" s="152"/>
      <c r="H34" s="154"/>
      <c r="I34" s="150"/>
    </row>
    <row r="35" spans="2:10" ht="57" customHeight="1">
      <c r="B35" s="83" t="s">
        <v>230</v>
      </c>
      <c r="C35" s="70" t="str">
        <f>Riepilogo!D18</f>
        <v>Neurimpulse S.r.l.</v>
      </c>
      <c r="D35" s="75" t="s">
        <v>256</v>
      </c>
      <c r="E35" s="75" t="s">
        <v>256</v>
      </c>
      <c r="F35" s="73">
        <f>Riepilogo!G18*100</f>
        <v>30</v>
      </c>
      <c r="G35" s="73">
        <f>F35</f>
        <v>30</v>
      </c>
      <c r="H35" s="84">
        <f>Riepilogo!AM18</f>
        <v>600000</v>
      </c>
      <c r="I35" s="184">
        <v>0</v>
      </c>
      <c r="J35" s="484">
        <f>Riepilogo!Q18</f>
        <v>16</v>
      </c>
    </row>
    <row r="36" spans="2:9" ht="6" customHeight="1">
      <c r="B36" s="124"/>
      <c r="C36" s="156"/>
      <c r="D36" s="102"/>
      <c r="E36" s="102"/>
      <c r="F36" s="104"/>
      <c r="G36" s="155"/>
      <c r="H36" s="84"/>
      <c r="I36" s="122"/>
    </row>
    <row r="37" spans="2:10" ht="45.75" customHeight="1">
      <c r="B37" s="124" t="s">
        <v>231</v>
      </c>
      <c r="C37" s="70" t="str">
        <f>Riepilogo!D20</f>
        <v>Officina Stellare S.r.l.</v>
      </c>
      <c r="D37" s="102" t="s">
        <v>582</v>
      </c>
      <c r="E37" s="102" t="s">
        <v>582</v>
      </c>
      <c r="F37" s="73">
        <f>Riepilogo!G20*100</f>
        <v>35.00004062497461</v>
      </c>
      <c r="G37" s="73">
        <f>F37</f>
        <v>35.00004062497461</v>
      </c>
      <c r="H37" s="84">
        <f>Riepilogo!AM20</f>
        <v>500000</v>
      </c>
      <c r="I37" s="184">
        <v>0</v>
      </c>
      <c r="J37" s="484">
        <f>Riepilogo!Q20</f>
        <v>16</v>
      </c>
    </row>
    <row r="38" spans="2:9" ht="6" customHeight="1">
      <c r="B38" s="124"/>
      <c r="C38" s="156"/>
      <c r="D38" s="102"/>
      <c r="E38" s="102"/>
      <c r="F38" s="104"/>
      <c r="G38" s="155"/>
      <c r="H38" s="84"/>
      <c r="I38" s="122"/>
    </row>
    <row r="39" spans="2:10" ht="57" customHeight="1">
      <c r="B39" s="124" t="s">
        <v>254</v>
      </c>
      <c r="C39" s="156" t="s">
        <v>504</v>
      </c>
      <c r="D39" s="75" t="s">
        <v>337</v>
      </c>
      <c r="E39" s="75" t="s">
        <v>337</v>
      </c>
      <c r="F39" s="73">
        <f>Riepilogo!G22*100</f>
        <v>32.885905879464886</v>
      </c>
      <c r="G39" s="73">
        <f>F39</f>
        <v>32.885905879464886</v>
      </c>
      <c r="H39" s="84">
        <f>Riepilogo!AM22</f>
        <v>800000</v>
      </c>
      <c r="I39" s="184">
        <v>0</v>
      </c>
      <c r="J39" s="971" t="s">
        <v>600</v>
      </c>
    </row>
    <row r="40" spans="2:9" ht="6" customHeight="1">
      <c r="B40" s="39"/>
      <c r="C40" s="156"/>
      <c r="D40" s="102"/>
      <c r="E40" s="102"/>
      <c r="F40" s="104"/>
      <c r="G40" s="155"/>
      <c r="H40" s="84"/>
      <c r="I40" s="122"/>
    </row>
    <row r="41" spans="2:10" ht="57" customHeight="1">
      <c r="B41" s="237" t="s">
        <v>255</v>
      </c>
      <c r="C41" s="156" t="s">
        <v>505</v>
      </c>
      <c r="D41" s="102" t="s">
        <v>396</v>
      </c>
      <c r="E41" s="102" t="s">
        <v>396</v>
      </c>
      <c r="F41" s="73">
        <f>Riepilogo!G24*100</f>
        <v>0</v>
      </c>
      <c r="G41" s="73">
        <f>F41</f>
        <v>0</v>
      </c>
      <c r="H41" s="84">
        <f>Riepilogo!AM24</f>
        <v>0</v>
      </c>
      <c r="I41" s="185"/>
      <c r="J41" s="484">
        <f>Riepilogo!Q24</f>
        <v>0</v>
      </c>
    </row>
    <row r="42" spans="2:9" ht="6" customHeight="1">
      <c r="B42" s="39"/>
      <c r="C42" s="156"/>
      <c r="D42" s="102"/>
      <c r="E42" s="102"/>
      <c r="F42" s="104"/>
      <c r="G42" s="155"/>
      <c r="H42" s="84"/>
      <c r="I42" s="122"/>
    </row>
    <row r="43" spans="2:10" ht="57" customHeight="1">
      <c r="B43" s="39" t="s">
        <v>388</v>
      </c>
      <c r="C43" s="156" t="s">
        <v>399</v>
      </c>
      <c r="D43" s="102" t="s">
        <v>397</v>
      </c>
      <c r="E43" s="102" t="s">
        <v>397</v>
      </c>
      <c r="F43" s="73">
        <f>Riepilogo!G46*100</f>
        <v>39.794065709951006</v>
      </c>
      <c r="G43" s="73">
        <f>F43</f>
        <v>39.794065709951006</v>
      </c>
      <c r="H43" s="84">
        <f>Riepilogo!AM46</f>
        <v>1</v>
      </c>
      <c r="I43" s="184"/>
      <c r="J43" s="484">
        <f>Riepilogo!Q46</f>
        <v>15</v>
      </c>
    </row>
    <row r="44" spans="2:9" ht="6" customHeight="1">
      <c r="B44" s="39"/>
      <c r="C44" s="156"/>
      <c r="D44" s="102"/>
      <c r="E44" s="102"/>
      <c r="F44" s="104"/>
      <c r="G44" s="155"/>
      <c r="H44" s="84"/>
      <c r="I44" s="122"/>
    </row>
    <row r="45" spans="2:10" ht="57" customHeight="1">
      <c r="B45" s="39" t="s">
        <v>315</v>
      </c>
      <c r="C45" s="70" t="str">
        <f>Riepilogo!D28</f>
        <v>Xeptagen S.p.A.</v>
      </c>
      <c r="D45" s="75" t="s">
        <v>271</v>
      </c>
      <c r="E45" s="75" t="s">
        <v>271</v>
      </c>
      <c r="F45" s="73">
        <f>Riepilogo!G28*100</f>
        <v>21.428620968101498</v>
      </c>
      <c r="G45" s="73">
        <f>F45</f>
        <v>21.428620968101498</v>
      </c>
      <c r="H45" s="84">
        <f>Riepilogo!AM28</f>
        <v>464143</v>
      </c>
      <c r="I45" s="184">
        <v>0</v>
      </c>
      <c r="J45" s="484">
        <f>Riepilogo!Q28</f>
        <v>16</v>
      </c>
    </row>
    <row r="46" spans="2:9" ht="6" customHeight="1">
      <c r="B46" s="39"/>
      <c r="C46" s="156"/>
      <c r="D46" s="102"/>
      <c r="E46" s="102"/>
      <c r="F46" s="104"/>
      <c r="G46" s="155"/>
      <c r="H46" s="84"/>
      <c r="I46" s="122"/>
    </row>
    <row r="47" spans="2:10" ht="57" customHeight="1">
      <c r="B47" s="39" t="s">
        <v>398</v>
      </c>
      <c r="C47" s="70" t="str">
        <f>Riepilogo!D30</f>
        <v>Zen Fonderie S.r.l.</v>
      </c>
      <c r="D47" s="75" t="s">
        <v>270</v>
      </c>
      <c r="E47" s="75" t="s">
        <v>270</v>
      </c>
      <c r="F47" s="73">
        <f>Riepilogo!G30*100</f>
        <v>28.500121414888163</v>
      </c>
      <c r="G47" s="73">
        <f>F47</f>
        <v>28.500121414888163</v>
      </c>
      <c r="H47" s="84">
        <f>ROUND(Riepilogo!AM30,0)</f>
        <v>700000</v>
      </c>
      <c r="I47" s="184">
        <v>0</v>
      </c>
      <c r="J47" s="484">
        <f>Riepilogo!Q30</f>
        <v>16</v>
      </c>
    </row>
    <row r="48" spans="2:11" s="10" customFormat="1" ht="6" customHeight="1">
      <c r="B48" s="63"/>
      <c r="C48" s="27"/>
      <c r="D48" s="479"/>
      <c r="E48" s="479"/>
      <c r="F48" s="115"/>
      <c r="G48" s="175"/>
      <c r="H48" s="134"/>
      <c r="I48" s="479"/>
      <c r="J48" s="483"/>
      <c r="K48" s="483"/>
    </row>
    <row r="50" spans="3:9" ht="15" customHeight="1">
      <c r="C50" s="2043"/>
      <c r="D50" s="2043"/>
      <c r="E50" s="2043"/>
      <c r="F50" s="2043"/>
      <c r="G50" s="2043"/>
      <c r="H50" s="2043"/>
      <c r="I50" s="2043"/>
    </row>
    <row r="51" spans="2:11" s="120" customFormat="1" ht="15.75" customHeight="1">
      <c r="B51" s="445"/>
      <c r="C51" s="2043"/>
      <c r="D51" s="2043"/>
      <c r="E51" s="2043"/>
      <c r="F51" s="2043"/>
      <c r="G51" s="2043"/>
      <c r="H51" s="2043"/>
      <c r="I51" s="2043"/>
      <c r="J51" s="485"/>
      <c r="K51" s="485"/>
    </row>
    <row r="52" spans="2:11" s="120" customFormat="1" ht="14.25">
      <c r="B52" s="445"/>
      <c r="J52" s="485"/>
      <c r="K52" s="485"/>
    </row>
    <row r="56" spans="7:8" ht="14.25">
      <c r="G56" s="480"/>
      <c r="H56" s="480"/>
    </row>
    <row r="57" spans="7:8" ht="14.25">
      <c r="G57" s="390"/>
      <c r="H57" s="390"/>
    </row>
    <row r="58" spans="7:8" ht="14.25">
      <c r="G58" s="481"/>
      <c r="H58" s="481"/>
    </row>
  </sheetData>
  <sheetProtection/>
  <mergeCells count="3">
    <mergeCell ref="B2:C2"/>
    <mergeCell ref="C50:I50"/>
    <mergeCell ref="C51:I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B1:M154"/>
  <sheetViews>
    <sheetView view="pageBreakPreview" zoomScale="90" zoomScaleNormal="8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J159" sqref="J159"/>
    </sheetView>
  </sheetViews>
  <sheetFormatPr defaultColWidth="9.140625" defaultRowHeight="12.75"/>
  <cols>
    <col min="1" max="1" width="4.00390625" style="39" customWidth="1"/>
    <col min="2" max="2" width="3.00390625" style="65" customWidth="1"/>
    <col min="3" max="3" width="10.00390625" style="39" customWidth="1"/>
    <col min="4" max="4" width="35.140625" style="39" customWidth="1"/>
    <col min="5" max="5" width="23.8515625" style="65" customWidth="1"/>
    <col min="6" max="6" width="30.140625" style="65" customWidth="1"/>
    <col min="7" max="7" width="15.421875" style="415" bestFit="1" customWidth="1"/>
    <col min="8" max="9" width="15.7109375" style="39" bestFit="1" customWidth="1"/>
    <col min="10" max="16384" width="9.140625" style="39" customWidth="1"/>
  </cols>
  <sheetData>
    <row r="1" spans="2:6" ht="16.5" customHeight="1">
      <c r="B1" s="414" t="s">
        <v>261</v>
      </c>
      <c r="C1" s="414"/>
      <c r="D1" s="414"/>
      <c r="E1" s="191"/>
      <c r="F1" s="191"/>
    </row>
    <row r="2" spans="2:13" ht="54" customHeight="1">
      <c r="B2" s="2046"/>
      <c r="C2" s="2046"/>
      <c r="D2" s="2046"/>
      <c r="E2" s="37" t="s">
        <v>49</v>
      </c>
      <c r="F2" s="37" t="s">
        <v>50</v>
      </c>
      <c r="G2" s="38" t="s">
        <v>5</v>
      </c>
      <c r="H2" s="7"/>
      <c r="I2" s="7"/>
      <c r="J2" s="7"/>
      <c r="K2" s="7"/>
      <c r="L2" s="7"/>
      <c r="M2" s="7"/>
    </row>
    <row r="3" spans="2:13" s="10" customFormat="1" ht="6" customHeight="1">
      <c r="B3" s="1"/>
      <c r="C3" s="21"/>
      <c r="D3" s="22"/>
      <c r="E3" s="23"/>
      <c r="F3" s="24"/>
      <c r="G3" s="433"/>
      <c r="H3" s="139"/>
      <c r="I3" s="139"/>
      <c r="J3" s="139"/>
      <c r="K3" s="139"/>
      <c r="L3" s="139"/>
      <c r="M3" s="139"/>
    </row>
    <row r="4" spans="2:13" ht="15.75" customHeight="1">
      <c r="B4" s="50" t="s">
        <v>15</v>
      </c>
      <c r="C4" s="43" t="s">
        <v>16</v>
      </c>
      <c r="D4" s="44"/>
      <c r="E4" s="58">
        <v>0</v>
      </c>
      <c r="F4" s="53">
        <f>SUM(F10:F43)</f>
        <v>26849870.08</v>
      </c>
      <c r="G4" s="62">
        <f>SUM(E4:F4)</f>
        <v>26849870.08</v>
      </c>
      <c r="H4" s="7"/>
      <c r="I4" s="7"/>
      <c r="J4" s="7"/>
      <c r="K4" s="7"/>
      <c r="L4" s="7"/>
      <c r="M4" s="7"/>
    </row>
    <row r="5" spans="2:13" s="10" customFormat="1" ht="6" customHeight="1">
      <c r="B5" s="50"/>
      <c r="C5" s="7"/>
      <c r="D5" s="6"/>
      <c r="E5" s="57"/>
      <c r="F5" s="57"/>
      <c r="G5" s="416"/>
      <c r="H5" s="139"/>
      <c r="I5" s="139"/>
      <c r="J5" s="139"/>
      <c r="K5" s="139"/>
      <c r="L5" s="139"/>
      <c r="M5" s="139"/>
    </row>
    <row r="6" spans="2:13" ht="51" customHeight="1">
      <c r="B6" s="472"/>
      <c r="C6" s="2044" t="s">
        <v>238</v>
      </c>
      <c r="D6" s="2045"/>
      <c r="E6" s="55"/>
      <c r="F6" s="488"/>
      <c r="G6" s="55"/>
      <c r="H6" s="138"/>
      <c r="I6" s="202"/>
      <c r="J6" s="138"/>
      <c r="K6" s="138"/>
      <c r="L6" s="138"/>
      <c r="M6" s="7"/>
    </row>
    <row r="7" spans="2:13" s="10" customFormat="1" ht="6" customHeight="1">
      <c r="B7" s="50"/>
      <c r="C7" s="7"/>
      <c r="D7" s="6"/>
      <c r="E7" s="57"/>
      <c r="F7" s="57"/>
      <c r="G7" s="416"/>
      <c r="H7" s="139"/>
      <c r="I7" s="139"/>
      <c r="J7" s="139"/>
      <c r="K7" s="139"/>
      <c r="L7" s="139"/>
      <c r="M7" s="139"/>
    </row>
    <row r="8" spans="2:13" s="10" customFormat="1" ht="15.75" customHeight="1">
      <c r="B8" s="50"/>
      <c r="C8" s="59" t="s">
        <v>213</v>
      </c>
      <c r="D8" s="6"/>
      <c r="E8" s="54"/>
      <c r="F8" s="54"/>
      <c r="G8" s="489"/>
      <c r="H8" s="139"/>
      <c r="I8" s="139"/>
      <c r="J8" s="139"/>
      <c r="K8" s="139"/>
      <c r="L8" s="139"/>
      <c r="M8" s="139"/>
    </row>
    <row r="9" spans="2:13" s="10" customFormat="1" ht="6" customHeight="1">
      <c r="B9" s="50"/>
      <c r="C9" s="7"/>
      <c r="D9" s="6"/>
      <c r="E9" s="57"/>
      <c r="F9" s="57"/>
      <c r="G9" s="416"/>
      <c r="H9" s="139"/>
      <c r="I9" s="139"/>
      <c r="J9" s="139"/>
      <c r="K9" s="139"/>
      <c r="L9" s="139"/>
      <c r="M9" s="139"/>
    </row>
    <row r="10" spans="2:13" ht="15.75" customHeight="1">
      <c r="B10" s="50"/>
      <c r="C10" s="157" t="str">
        <f>Riepilogo!D44</f>
        <v>Adaptica S.r.l.</v>
      </c>
      <c r="D10" s="6"/>
      <c r="E10" s="207"/>
      <c r="F10" s="61">
        <f>Riepilogo!AC44</f>
        <v>642816.74</v>
      </c>
      <c r="G10" s="416"/>
      <c r="H10" s="7"/>
      <c r="I10" s="7"/>
      <c r="J10" s="7"/>
      <c r="K10" s="7"/>
      <c r="L10" s="7"/>
      <c r="M10" s="7"/>
    </row>
    <row r="11" spans="2:13" s="10" customFormat="1" ht="6" customHeight="1">
      <c r="B11" s="50"/>
      <c r="C11" s="7"/>
      <c r="D11" s="6"/>
      <c r="E11" s="57"/>
      <c r="F11" s="57"/>
      <c r="G11" s="416"/>
      <c r="H11" s="139"/>
      <c r="I11" s="139"/>
      <c r="J11" s="139"/>
      <c r="K11" s="139"/>
      <c r="L11" s="139"/>
      <c r="M11" s="139"/>
    </row>
    <row r="12" spans="2:13" s="120" customFormat="1" ht="15.75" customHeight="1">
      <c r="B12" s="118"/>
      <c r="C12" s="158" t="str">
        <f>Riepilogo!D10</f>
        <v>Cielle S.r.l.</v>
      </c>
      <c r="D12" s="119"/>
      <c r="E12" s="490"/>
      <c r="F12" s="159">
        <f>Riepilogo!AC10</f>
        <v>253887.05</v>
      </c>
      <c r="G12" s="424"/>
      <c r="H12" s="121"/>
      <c r="I12" s="121"/>
      <c r="J12" s="121"/>
      <c r="K12" s="121"/>
      <c r="L12" s="121"/>
      <c r="M12" s="121"/>
    </row>
    <row r="13" spans="2:13" s="120" customFormat="1" ht="6" customHeight="1">
      <c r="B13" s="118"/>
      <c r="C13" s="158"/>
      <c r="D13" s="119"/>
      <c r="E13" s="490"/>
      <c r="F13" s="844"/>
      <c r="G13" s="424"/>
      <c r="H13" s="121"/>
      <c r="I13" s="121"/>
      <c r="J13" s="121"/>
      <c r="K13" s="121"/>
      <c r="L13" s="121"/>
      <c r="M13" s="121"/>
    </row>
    <row r="14" spans="2:13" s="120" customFormat="1" ht="19.5" customHeight="1">
      <c r="B14" s="118"/>
      <c r="C14" s="158" t="str">
        <f>Riepilogo!D14</f>
        <v>Garmont International S.r.l.</v>
      </c>
      <c r="D14" s="119"/>
      <c r="E14" s="490"/>
      <c r="F14" s="844">
        <f>Riepilogo!AC14</f>
        <v>1000000</v>
      </c>
      <c r="G14" s="424"/>
      <c r="H14" s="121"/>
      <c r="I14" s="121"/>
      <c r="J14" s="121"/>
      <c r="K14" s="121"/>
      <c r="L14" s="121"/>
      <c r="M14" s="121"/>
    </row>
    <row r="15" spans="2:13" s="10" customFormat="1" ht="6" customHeight="1">
      <c r="B15" s="50"/>
      <c r="C15" s="7"/>
      <c r="D15" s="6"/>
      <c r="E15" s="57"/>
      <c r="F15" s="57"/>
      <c r="G15" s="416"/>
      <c r="H15" s="139"/>
      <c r="I15" s="139"/>
      <c r="J15" s="139"/>
      <c r="K15" s="139"/>
      <c r="L15" s="139"/>
      <c r="M15" s="139"/>
    </row>
    <row r="16" spans="2:13" s="120" customFormat="1" ht="15.75" customHeight="1">
      <c r="B16" s="118"/>
      <c r="C16" s="158" t="str">
        <f>Riepilogo!D16</f>
        <v>Interplanet S.r.l.</v>
      </c>
      <c r="D16" s="119"/>
      <c r="E16" s="490"/>
      <c r="F16" s="159">
        <f>Riepilogo!AC16</f>
        <v>750000</v>
      </c>
      <c r="G16" s="424"/>
      <c r="H16" s="121"/>
      <c r="I16" s="121"/>
      <c r="J16" s="121"/>
      <c r="K16" s="121"/>
      <c r="L16" s="121"/>
      <c r="M16" s="121"/>
    </row>
    <row r="17" spans="2:13" s="10" customFormat="1" ht="6" customHeight="1">
      <c r="B17" s="50"/>
      <c r="C17" s="7"/>
      <c r="D17" s="6"/>
      <c r="E17" s="57"/>
      <c r="F17" s="57"/>
      <c r="G17" s="416"/>
      <c r="H17" s="139"/>
      <c r="I17" s="139"/>
      <c r="J17" s="139"/>
      <c r="K17" s="139"/>
      <c r="L17" s="139"/>
      <c r="M17" s="139"/>
    </row>
    <row r="18" spans="2:13" s="120" customFormat="1" ht="15.75" customHeight="1">
      <c r="B18" s="118"/>
      <c r="C18" s="158" t="str">
        <f>Riepilogo!D18</f>
        <v>Neurimpulse S.r.l.</v>
      </c>
      <c r="D18" s="119"/>
      <c r="E18" s="490"/>
      <c r="F18" s="159">
        <f>Riepilogo!AC18</f>
        <v>600000</v>
      </c>
      <c r="G18" s="424"/>
      <c r="H18" s="121"/>
      <c r="I18" s="121"/>
      <c r="J18" s="121"/>
      <c r="K18" s="121"/>
      <c r="L18" s="121"/>
      <c r="M18" s="121"/>
    </row>
    <row r="19" spans="2:13" s="10" customFormat="1" ht="6" customHeight="1">
      <c r="B19" s="50"/>
      <c r="C19" s="7"/>
      <c r="D19" s="6"/>
      <c r="E19" s="57"/>
      <c r="F19" s="57"/>
      <c r="G19" s="416"/>
      <c r="H19" s="139"/>
      <c r="I19" s="139"/>
      <c r="J19" s="139"/>
      <c r="K19" s="139"/>
      <c r="L19" s="139"/>
      <c r="M19" s="139"/>
    </row>
    <row r="20" spans="2:13" s="120" customFormat="1" ht="15.75" customHeight="1">
      <c r="B20" s="118"/>
      <c r="C20" s="160" t="str">
        <f>Riepilogo!D42</f>
        <v>Nuove Energie S.r.l.</v>
      </c>
      <c r="D20" s="119"/>
      <c r="E20" s="490"/>
      <c r="F20" s="159">
        <f>Riepilogo!AC42</f>
        <v>292000</v>
      </c>
      <c r="G20" s="424"/>
      <c r="H20" s="121"/>
      <c r="I20" s="121"/>
      <c r="J20" s="121"/>
      <c r="K20" s="121"/>
      <c r="L20" s="121"/>
      <c r="M20" s="121"/>
    </row>
    <row r="21" spans="2:13" s="10" customFormat="1" ht="6" customHeight="1">
      <c r="B21" s="50"/>
      <c r="C21" s="7"/>
      <c r="D21" s="6"/>
      <c r="E21" s="57"/>
      <c r="F21" s="57"/>
      <c r="G21" s="416"/>
      <c r="H21" s="139"/>
      <c r="I21" s="139"/>
      <c r="J21" s="139"/>
      <c r="K21" s="139"/>
      <c r="L21" s="139"/>
      <c r="M21" s="139"/>
    </row>
    <row r="22" spans="2:13" s="10" customFormat="1" ht="18.75" customHeight="1">
      <c r="B22" s="50"/>
      <c r="C22" s="161" t="str">
        <f>Riepilogo!D20</f>
        <v>Officina Stellare S.r.l.</v>
      </c>
      <c r="D22" s="6"/>
      <c r="E22" s="57"/>
      <c r="F22" s="57">
        <f>Riepilogo!AC20</f>
        <v>500000</v>
      </c>
      <c r="G22" s="417"/>
      <c r="H22" s="139"/>
      <c r="I22" s="139"/>
      <c r="J22" s="139"/>
      <c r="K22" s="139"/>
      <c r="L22" s="139"/>
      <c r="M22" s="139"/>
    </row>
    <row r="23" spans="2:13" s="10" customFormat="1" ht="6" customHeight="1">
      <c r="B23" s="50"/>
      <c r="C23" s="7"/>
      <c r="D23" s="6"/>
      <c r="E23" s="57"/>
      <c r="F23" s="57"/>
      <c r="G23" s="417"/>
      <c r="H23" s="139"/>
      <c r="I23" s="139"/>
      <c r="J23" s="139"/>
      <c r="K23" s="139"/>
      <c r="L23" s="139"/>
      <c r="M23" s="139"/>
    </row>
    <row r="24" spans="2:13" s="120" customFormat="1" ht="15.75" customHeight="1">
      <c r="B24" s="118"/>
      <c r="C24" s="201" t="str">
        <f>Riepilogo!D22</f>
        <v>OTS S.r.l.</v>
      </c>
      <c r="D24" s="119"/>
      <c r="E24" s="490"/>
      <c r="F24" s="159">
        <f>Riepilogo!AC22</f>
        <v>800000</v>
      </c>
      <c r="G24" s="418"/>
      <c r="H24" s="121"/>
      <c r="I24" s="121"/>
      <c r="J24" s="121"/>
      <c r="K24" s="121"/>
      <c r="L24" s="121"/>
      <c r="M24" s="121"/>
    </row>
    <row r="25" spans="2:13" s="120" customFormat="1" ht="6" customHeight="1">
      <c r="B25" s="118"/>
      <c r="C25" s="201"/>
      <c r="D25" s="119"/>
      <c r="E25" s="490"/>
      <c r="F25" s="844"/>
      <c r="G25" s="418"/>
      <c r="H25" s="121"/>
      <c r="I25" s="121"/>
      <c r="J25" s="121"/>
      <c r="K25" s="121"/>
      <c r="L25" s="121"/>
      <c r="M25" s="121"/>
    </row>
    <row r="26" spans="2:13" s="120" customFormat="1" ht="15.75" customHeight="1">
      <c r="B26" s="118"/>
      <c r="C26" s="201" t="str">
        <f>Riepilogo!D24</f>
        <v>SI14 S.p.A.</v>
      </c>
      <c r="D26" s="119"/>
      <c r="E26" s="490"/>
      <c r="F26" s="844">
        <f>Riepilogo!AC24</f>
        <v>652469.4299999997</v>
      </c>
      <c r="G26" s="418"/>
      <c r="H26" s="121"/>
      <c r="I26" s="121"/>
      <c r="J26" s="121"/>
      <c r="K26" s="121"/>
      <c r="L26" s="121"/>
      <c r="M26" s="121"/>
    </row>
    <row r="27" spans="2:13" s="10" customFormat="1" ht="6" customHeight="1">
      <c r="B27" s="50"/>
      <c r="C27" s="7"/>
      <c r="D27" s="6"/>
      <c r="E27" s="57"/>
      <c r="F27" s="57"/>
      <c r="G27" s="417"/>
      <c r="H27" s="139"/>
      <c r="I27" s="139"/>
      <c r="J27" s="139"/>
      <c r="K27" s="139"/>
      <c r="L27" s="139"/>
      <c r="M27" s="139"/>
    </row>
    <row r="28" spans="2:13" s="10" customFormat="1" ht="16.5" customHeight="1">
      <c r="B28" s="50"/>
      <c r="C28" s="161" t="str">
        <f>Riepilogo!D46</f>
        <v>Walking Pipe S.p.A. in liquidazione</v>
      </c>
      <c r="D28" s="6"/>
      <c r="E28" s="57"/>
      <c r="F28" s="57">
        <f>Riepilogo!AC46</f>
        <v>1</v>
      </c>
      <c r="G28" s="417"/>
      <c r="H28" s="139"/>
      <c r="I28" s="139"/>
      <c r="J28" s="139"/>
      <c r="K28" s="139"/>
      <c r="L28" s="139"/>
      <c r="M28" s="139"/>
    </row>
    <row r="29" spans="2:13" s="10" customFormat="1" ht="6" customHeight="1">
      <c r="B29" s="50"/>
      <c r="C29" s="7"/>
      <c r="D29" s="6"/>
      <c r="E29" s="57"/>
      <c r="F29" s="57"/>
      <c r="G29" s="417"/>
      <c r="H29" s="139"/>
      <c r="I29" s="139"/>
      <c r="J29" s="139"/>
      <c r="K29" s="139"/>
      <c r="L29" s="139"/>
      <c r="M29" s="139"/>
    </row>
    <row r="30" spans="2:13" s="120" customFormat="1" ht="15.75" customHeight="1">
      <c r="B30" s="118"/>
      <c r="C30" s="160" t="str">
        <f>Riepilogo!D28</f>
        <v>Xeptagen S.p.A.</v>
      </c>
      <c r="D30" s="119"/>
      <c r="E30" s="490"/>
      <c r="F30" s="159">
        <f>Riepilogo!AC28</f>
        <v>464143</v>
      </c>
      <c r="G30" s="418"/>
      <c r="H30" s="121"/>
      <c r="I30" s="121"/>
      <c r="J30" s="121"/>
      <c r="K30" s="121"/>
      <c r="L30" s="121"/>
      <c r="M30" s="121"/>
    </row>
    <row r="31" spans="2:13" s="120" customFormat="1" ht="6" customHeight="1">
      <c r="B31" s="118"/>
      <c r="C31" s="160"/>
      <c r="D31" s="119"/>
      <c r="E31" s="490"/>
      <c r="F31" s="159"/>
      <c r="G31" s="418"/>
      <c r="H31" s="121"/>
      <c r="I31" s="121"/>
      <c r="J31" s="121"/>
      <c r="K31" s="121"/>
      <c r="L31" s="121"/>
      <c r="M31" s="121"/>
    </row>
    <row r="32" spans="2:13" s="120" customFormat="1" ht="15.75" customHeight="1">
      <c r="B32" s="118"/>
      <c r="C32" s="201" t="str">
        <f>Riepilogo!D30</f>
        <v>Zen Fonderie S.r.l.</v>
      </c>
      <c r="D32" s="119"/>
      <c r="E32" s="490"/>
      <c r="F32" s="159">
        <f>Riepilogo!AC30</f>
        <v>700000</v>
      </c>
      <c r="G32" s="418"/>
      <c r="H32" s="121"/>
      <c r="I32" s="121"/>
      <c r="J32" s="121"/>
      <c r="K32" s="121"/>
      <c r="L32" s="121"/>
      <c r="M32" s="121"/>
    </row>
    <row r="33" spans="2:13" s="10" customFormat="1" ht="6" customHeight="1">
      <c r="B33" s="50"/>
      <c r="C33" s="7"/>
      <c r="D33" s="6"/>
      <c r="E33" s="54"/>
      <c r="F33" s="149"/>
      <c r="G33" s="417"/>
      <c r="H33" s="139"/>
      <c r="I33" s="139"/>
      <c r="J33" s="139"/>
      <c r="K33" s="139"/>
      <c r="L33" s="139"/>
      <c r="M33" s="139"/>
    </row>
    <row r="34" spans="2:13" s="10" customFormat="1" ht="15.75" customHeight="1">
      <c r="B34" s="50"/>
      <c r="C34" s="2047" t="s">
        <v>214</v>
      </c>
      <c r="D34" s="2045"/>
      <c r="E34" s="57"/>
      <c r="F34" s="57"/>
      <c r="G34" s="416"/>
      <c r="H34" s="139"/>
      <c r="I34" s="139"/>
      <c r="J34" s="139"/>
      <c r="K34" s="139"/>
      <c r="L34" s="139"/>
      <c r="M34" s="139"/>
    </row>
    <row r="35" spans="2:13" s="10" customFormat="1" ht="6" customHeight="1">
      <c r="B35" s="50"/>
      <c r="C35" s="7"/>
      <c r="D35" s="6"/>
      <c r="E35" s="57"/>
      <c r="F35" s="57"/>
      <c r="G35" s="416"/>
      <c r="H35" s="139"/>
      <c r="I35" s="139"/>
      <c r="J35" s="139"/>
      <c r="K35" s="139"/>
      <c r="L35" s="139"/>
      <c r="M35" s="139"/>
    </row>
    <row r="36" spans="2:13" s="10" customFormat="1" ht="15.75" customHeight="1">
      <c r="B36" s="50"/>
      <c r="C36" s="59" t="s">
        <v>29</v>
      </c>
      <c r="D36" s="6"/>
      <c r="E36" s="54"/>
      <c r="F36" s="54"/>
      <c r="G36" s="489"/>
      <c r="H36" s="139"/>
      <c r="I36" s="139"/>
      <c r="J36" s="139"/>
      <c r="K36" s="139"/>
      <c r="L36" s="139"/>
      <c r="M36" s="139"/>
    </row>
    <row r="37" spans="2:13" s="10" customFormat="1" ht="6" customHeight="1">
      <c r="B37" s="50"/>
      <c r="C37" s="59"/>
      <c r="D37" s="6"/>
      <c r="E37" s="57"/>
      <c r="F37" s="54"/>
      <c r="G37" s="489"/>
      <c r="H37" s="139"/>
      <c r="I37" s="139"/>
      <c r="J37" s="139"/>
      <c r="K37" s="139"/>
      <c r="L37" s="139"/>
      <c r="M37" s="139"/>
    </row>
    <row r="38" spans="2:13" s="10" customFormat="1" ht="18.75" customHeight="1">
      <c r="B38" s="50"/>
      <c r="C38" s="161" t="str">
        <f>Riepilogo!D67</f>
        <v>APVS S.r.l.</v>
      </c>
      <c r="D38" s="6"/>
      <c r="E38" s="57"/>
      <c r="F38" s="54">
        <f>Riepilogo!AC67</f>
        <v>16809532.21</v>
      </c>
      <c r="G38" s="489"/>
      <c r="H38" s="139"/>
      <c r="I38" s="139"/>
      <c r="J38" s="139"/>
      <c r="K38" s="139"/>
      <c r="L38" s="139"/>
      <c r="M38" s="139"/>
    </row>
    <row r="39" spans="2:13" ht="6" customHeight="1">
      <c r="B39" s="50"/>
      <c r="C39" s="157"/>
      <c r="D39" s="6"/>
      <c r="E39" s="207"/>
      <c r="F39" s="61"/>
      <c r="G39" s="416"/>
      <c r="H39" s="7"/>
      <c r="I39" s="7"/>
      <c r="J39" s="7"/>
      <c r="K39" s="7"/>
      <c r="L39" s="7"/>
      <c r="M39" s="7"/>
    </row>
    <row r="40" spans="2:13" ht="15.75" customHeight="1">
      <c r="B40" s="50"/>
      <c r="C40" s="157" t="str">
        <f>Riepilogo!D69</f>
        <v>Enrive S.p.A.</v>
      </c>
      <c r="D40" s="6"/>
      <c r="E40" s="207"/>
      <c r="F40" s="61">
        <f>Riepilogo!AC69</f>
        <v>2133985.04</v>
      </c>
      <c r="G40" s="416"/>
      <c r="H40" s="7"/>
      <c r="I40" s="7"/>
      <c r="J40" s="7"/>
      <c r="K40" s="7"/>
      <c r="L40" s="7"/>
      <c r="M40" s="7"/>
    </row>
    <row r="41" spans="2:13" ht="6" customHeight="1">
      <c r="B41" s="50"/>
      <c r="C41" s="157"/>
      <c r="D41" s="6"/>
      <c r="E41" s="207"/>
      <c r="F41" s="61"/>
      <c r="G41" s="416"/>
      <c r="H41" s="7"/>
      <c r="I41" s="7"/>
      <c r="J41" s="7"/>
      <c r="K41" s="7"/>
      <c r="L41" s="7"/>
      <c r="M41" s="7"/>
    </row>
    <row r="42" spans="2:13" ht="15.75" customHeight="1">
      <c r="B42" s="50"/>
      <c r="C42" s="157" t="str">
        <f>Riepilogo!D60</f>
        <v>FVS S.G.R. S.p.A.</v>
      </c>
      <c r="D42" s="6"/>
      <c r="E42" s="207"/>
      <c r="F42" s="61">
        <f>Riepilogo!AC60</f>
        <v>1251035.61</v>
      </c>
      <c r="G42" s="416"/>
      <c r="H42" s="7"/>
      <c r="I42" s="7"/>
      <c r="J42" s="7"/>
      <c r="K42" s="7"/>
      <c r="L42" s="7"/>
      <c r="M42" s="7"/>
    </row>
    <row r="43" spans="2:13" s="10" customFormat="1" ht="6" customHeight="1">
      <c r="B43" s="63"/>
      <c r="C43" s="26"/>
      <c r="D43" s="27"/>
      <c r="E43" s="407"/>
      <c r="F43" s="425"/>
      <c r="G43" s="419"/>
      <c r="H43" s="139"/>
      <c r="I43" s="139"/>
      <c r="J43" s="139"/>
      <c r="K43" s="139"/>
      <c r="L43" s="139"/>
      <c r="M43" s="139"/>
    </row>
    <row r="44" spans="2:13" s="10" customFormat="1" ht="6" customHeight="1">
      <c r="B44" s="1"/>
      <c r="C44" s="21"/>
      <c r="D44" s="22"/>
      <c r="E44" s="42"/>
      <c r="F44" s="23"/>
      <c r="G44" s="420"/>
      <c r="H44" s="139"/>
      <c r="I44" s="139"/>
      <c r="J44" s="139"/>
      <c r="K44" s="139"/>
      <c r="L44" s="139"/>
      <c r="M44" s="139"/>
    </row>
    <row r="45" spans="2:13" ht="15.75" customHeight="1">
      <c r="B45" s="50" t="s">
        <v>17</v>
      </c>
      <c r="C45" s="30" t="s">
        <v>18</v>
      </c>
      <c r="D45" s="6"/>
      <c r="E45" s="58">
        <f>SUM(E47,E58,E66,E68)</f>
        <v>0</v>
      </c>
      <c r="F45" s="62">
        <f>F47+F58+F66+F68</f>
        <v>2000000.0000000002</v>
      </c>
      <c r="G45" s="62">
        <f>SUM(E45:F45)</f>
        <v>2000000.0000000002</v>
      </c>
      <c r="H45" s="7"/>
      <c r="I45" s="7"/>
      <c r="J45" s="7"/>
      <c r="K45" s="7"/>
      <c r="L45" s="7"/>
      <c r="M45" s="7"/>
    </row>
    <row r="46" spans="2:13" s="10" customFormat="1" ht="6" customHeight="1">
      <c r="B46" s="50"/>
      <c r="C46" s="7"/>
      <c r="D46" s="6"/>
      <c r="E46" s="57"/>
      <c r="F46" s="57"/>
      <c r="G46" s="416"/>
      <c r="H46" s="139"/>
      <c r="I46" s="139"/>
      <c r="J46" s="139"/>
      <c r="K46" s="139"/>
      <c r="L46" s="139"/>
      <c r="M46" s="139"/>
    </row>
    <row r="47" spans="2:13" ht="15.75" customHeight="1">
      <c r="B47" s="50"/>
      <c r="C47" s="7" t="s">
        <v>52</v>
      </c>
      <c r="D47" s="6"/>
      <c r="E47" s="494"/>
      <c r="F47" s="61">
        <f>SUM(F52:F56)</f>
        <v>0</v>
      </c>
      <c r="G47" s="217"/>
      <c r="H47" s="7"/>
      <c r="I47" s="7"/>
      <c r="J47" s="7"/>
      <c r="K47" s="7"/>
      <c r="L47" s="7"/>
      <c r="M47" s="7"/>
    </row>
    <row r="48" spans="2:13" s="10" customFormat="1" ht="6" customHeight="1">
      <c r="B48" s="50"/>
      <c r="C48" s="7"/>
      <c r="D48" s="6"/>
      <c r="E48" s="57"/>
      <c r="F48" s="55"/>
      <c r="G48" s="55"/>
      <c r="H48" s="139"/>
      <c r="I48" s="139"/>
      <c r="J48" s="139"/>
      <c r="K48" s="139"/>
      <c r="L48" s="139"/>
      <c r="M48" s="139"/>
    </row>
    <row r="49" spans="2:13" ht="52.5" customHeight="1">
      <c r="B49" s="472"/>
      <c r="C49" s="2044" t="s">
        <v>238</v>
      </c>
      <c r="D49" s="2045"/>
      <c r="E49" s="55"/>
      <c r="F49" s="488"/>
      <c r="G49" s="55"/>
      <c r="H49" s="138"/>
      <c r="I49" s="138"/>
      <c r="J49" s="138"/>
      <c r="K49" s="138"/>
      <c r="L49" s="138"/>
      <c r="M49" s="7"/>
    </row>
    <row r="50" spans="2:13" ht="14.25">
      <c r="B50" s="472"/>
      <c r="C50" s="2050" t="s">
        <v>213</v>
      </c>
      <c r="D50" s="2051"/>
      <c r="E50" s="427"/>
      <c r="F50" s="488"/>
      <c r="G50" s="55"/>
      <c r="H50" s="138"/>
      <c r="I50" s="138"/>
      <c r="J50" s="138"/>
      <c r="K50" s="138"/>
      <c r="L50" s="138"/>
      <c r="M50" s="7"/>
    </row>
    <row r="51" spans="2:13" ht="6" customHeight="1">
      <c r="B51" s="472"/>
      <c r="C51" s="478"/>
      <c r="D51" s="432"/>
      <c r="E51" s="427"/>
      <c r="F51" s="488"/>
      <c r="G51" s="55"/>
      <c r="H51" s="138"/>
      <c r="I51" s="138"/>
      <c r="J51" s="138"/>
      <c r="K51" s="138"/>
      <c r="L51" s="138"/>
      <c r="M51" s="7"/>
    </row>
    <row r="52" spans="2:13" ht="14.25">
      <c r="B52" s="472"/>
      <c r="C52" s="845" t="str">
        <f>Riepilogo!D22</f>
        <v>OTS S.r.l.</v>
      </c>
      <c r="E52" s="44"/>
      <c r="F52" s="61">
        <f>Riepilogo!AD22</f>
        <v>0</v>
      </c>
      <c r="G52" s="55"/>
      <c r="H52" s="138"/>
      <c r="I52" s="138"/>
      <c r="J52" s="138"/>
      <c r="K52" s="138"/>
      <c r="L52" s="138"/>
      <c r="M52" s="7"/>
    </row>
    <row r="53" spans="2:13" s="10" customFormat="1" ht="20.25" customHeight="1">
      <c r="B53" s="50"/>
      <c r="C53" s="2047" t="s">
        <v>214</v>
      </c>
      <c r="D53" s="2045"/>
      <c r="E53" s="54"/>
      <c r="F53" s="55"/>
      <c r="G53" s="55"/>
      <c r="H53" s="139"/>
      <c r="I53" s="139"/>
      <c r="J53" s="139"/>
      <c r="K53" s="139"/>
      <c r="L53" s="139"/>
      <c r="M53" s="139"/>
    </row>
    <row r="54" spans="2:13" ht="20.25" customHeight="1">
      <c r="B54" s="50"/>
      <c r="C54" s="59" t="s">
        <v>29</v>
      </c>
      <c r="D54" s="6"/>
      <c r="E54" s="207"/>
      <c r="F54" s="203"/>
      <c r="G54" s="416"/>
      <c r="H54" s="7"/>
      <c r="I54" s="7"/>
      <c r="J54" s="7"/>
      <c r="K54" s="7"/>
      <c r="L54" s="7"/>
      <c r="M54" s="7"/>
    </row>
    <row r="55" spans="2:13" ht="6" customHeight="1">
      <c r="B55" s="50"/>
      <c r="C55" s="59"/>
      <c r="D55" s="6"/>
      <c r="E55" s="207"/>
      <c r="F55" s="203"/>
      <c r="G55" s="416"/>
      <c r="H55" s="7"/>
      <c r="I55" s="7"/>
      <c r="J55" s="7"/>
      <c r="K55" s="7"/>
      <c r="L55" s="7"/>
      <c r="M55" s="7"/>
    </row>
    <row r="56" spans="2:13" ht="20.25" customHeight="1">
      <c r="B56" s="50"/>
      <c r="C56" s="2049" t="str">
        <f>Riepilogo!D67</f>
        <v>APVS S.r.l.</v>
      </c>
      <c r="D56" s="1994"/>
      <c r="E56" s="489"/>
      <c r="F56" s="61">
        <f>Riepilogo!AD67</f>
        <v>0</v>
      </c>
      <c r="G56" s="234"/>
      <c r="H56" s="7"/>
      <c r="I56" s="7"/>
      <c r="J56" s="7"/>
      <c r="K56" s="7"/>
      <c r="L56" s="7"/>
      <c r="M56" s="7"/>
    </row>
    <row r="57" spans="2:13" ht="6" customHeight="1">
      <c r="B57" s="50"/>
      <c r="C57" s="59"/>
      <c r="D57" s="6"/>
      <c r="E57" s="207"/>
      <c r="F57" s="203"/>
      <c r="G57" s="416"/>
      <c r="H57" s="7"/>
      <c r="I57" s="7"/>
      <c r="J57" s="7"/>
      <c r="K57" s="7"/>
      <c r="L57" s="7"/>
      <c r="M57" s="7"/>
    </row>
    <row r="58" spans="2:13" ht="15.75" customHeight="1">
      <c r="B58" s="50"/>
      <c r="C58" s="161" t="s">
        <v>60</v>
      </c>
      <c r="D58" s="6"/>
      <c r="E58" s="493"/>
      <c r="F58" s="61">
        <f>SUM(F64)</f>
        <v>0</v>
      </c>
      <c r="G58" s="225"/>
      <c r="H58" s="7"/>
      <c r="I58" s="7"/>
      <c r="J58" s="7"/>
      <c r="K58" s="7"/>
      <c r="L58" s="7"/>
      <c r="M58" s="7"/>
    </row>
    <row r="59" spans="2:13" ht="6" customHeight="1">
      <c r="B59" s="50"/>
      <c r="C59" s="161"/>
      <c r="D59" s="6"/>
      <c r="E59" s="207"/>
      <c r="F59" s="221"/>
      <c r="G59" s="416"/>
      <c r="H59" s="7"/>
      <c r="I59" s="7"/>
      <c r="J59" s="7"/>
      <c r="K59" s="7"/>
      <c r="L59" s="7"/>
      <c r="M59" s="7"/>
    </row>
    <row r="60" spans="2:13" ht="15.75" customHeight="1">
      <c r="B60" s="50"/>
      <c r="C60" s="2047" t="s">
        <v>214</v>
      </c>
      <c r="D60" s="2045"/>
      <c r="E60" s="207"/>
      <c r="F60" s="61"/>
      <c r="G60" s="416"/>
      <c r="H60" s="7"/>
      <c r="I60" s="7"/>
      <c r="J60" s="7"/>
      <c r="K60" s="7"/>
      <c r="L60" s="7"/>
      <c r="M60" s="7"/>
    </row>
    <row r="61" spans="2:13" s="10" customFormat="1" ht="6" customHeight="1">
      <c r="B61" s="50"/>
      <c r="C61" s="7"/>
      <c r="D61" s="6"/>
      <c r="E61" s="57"/>
      <c r="F61" s="57"/>
      <c r="G61" s="416"/>
      <c r="H61" s="139"/>
      <c r="I61" s="139"/>
      <c r="J61" s="139"/>
      <c r="K61" s="139"/>
      <c r="L61" s="139"/>
      <c r="M61" s="139"/>
    </row>
    <row r="62" spans="2:13" ht="15.75" customHeight="1">
      <c r="B62" s="50"/>
      <c r="C62" s="59" t="s">
        <v>29</v>
      </c>
      <c r="D62" s="6"/>
      <c r="E62" s="207"/>
      <c r="F62" s="61"/>
      <c r="G62" s="416"/>
      <c r="H62" s="7"/>
      <c r="I62" s="7"/>
      <c r="J62" s="7"/>
      <c r="K62" s="7"/>
      <c r="L62" s="7"/>
      <c r="M62" s="7"/>
    </row>
    <row r="63" spans="2:13" s="10" customFormat="1" ht="6" customHeight="1">
      <c r="B63" s="50"/>
      <c r="C63" s="2048" t="str">
        <f>Riepilogo!D60</f>
        <v>FVS S.G.R. S.p.A.</v>
      </c>
      <c r="D63" s="2052"/>
      <c r="E63" s="495"/>
      <c r="F63" s="57"/>
      <c r="G63" s="416"/>
      <c r="H63" s="139"/>
      <c r="I63" s="139"/>
      <c r="J63" s="139"/>
      <c r="K63" s="139"/>
      <c r="L63" s="139"/>
      <c r="M63" s="139"/>
    </row>
    <row r="64" spans="2:13" ht="15.75" customHeight="1">
      <c r="B64" s="50"/>
      <c r="C64" s="2048"/>
      <c r="D64" s="2052"/>
      <c r="E64" s="207"/>
      <c r="F64" s="61">
        <f>Riepilogo!AI60</f>
        <v>0</v>
      </c>
      <c r="G64" s="416"/>
      <c r="H64" s="7"/>
      <c r="I64" s="7"/>
      <c r="J64" s="7"/>
      <c r="K64" s="7"/>
      <c r="L64" s="7"/>
      <c r="M64" s="7"/>
    </row>
    <row r="65" spans="2:13" s="10" customFormat="1" ht="6" customHeight="1">
      <c r="B65" s="50"/>
      <c r="C65" s="7"/>
      <c r="D65" s="6"/>
      <c r="E65" s="57"/>
      <c r="F65" s="57"/>
      <c r="G65" s="416"/>
      <c r="H65" s="139"/>
      <c r="I65" s="139"/>
      <c r="J65" s="139"/>
      <c r="K65" s="139"/>
      <c r="L65" s="139"/>
      <c r="M65" s="139"/>
    </row>
    <row r="66" spans="2:13" ht="15.75" customHeight="1">
      <c r="B66" s="50"/>
      <c r="C66" s="161" t="s">
        <v>351</v>
      </c>
      <c r="D66" s="6"/>
      <c r="E66" s="493"/>
      <c r="F66" s="55">
        <v>0</v>
      </c>
      <c r="G66" s="225"/>
      <c r="H66" s="7"/>
      <c r="I66" s="7"/>
      <c r="J66" s="7"/>
      <c r="K66" s="7"/>
      <c r="L66" s="7"/>
      <c r="M66" s="7"/>
    </row>
    <row r="67" spans="2:13" ht="6" customHeight="1">
      <c r="B67" s="50"/>
      <c r="C67" s="201"/>
      <c r="D67" s="119"/>
      <c r="E67" s="490"/>
      <c r="F67" s="584"/>
      <c r="G67" s="424"/>
      <c r="H67" s="7"/>
      <c r="I67" s="7"/>
      <c r="J67" s="7"/>
      <c r="K67" s="7"/>
      <c r="L67" s="7"/>
      <c r="M67" s="7"/>
    </row>
    <row r="68" spans="2:13" ht="15.75" customHeight="1">
      <c r="B68" s="50"/>
      <c r="C68" s="201" t="s">
        <v>441</v>
      </c>
      <c r="D68" s="585"/>
      <c r="E68" s="586"/>
      <c r="F68" s="159">
        <f>SUM(F73:F76)</f>
        <v>2000000.0000000002</v>
      </c>
      <c r="G68" s="587"/>
      <c r="H68" s="7"/>
      <c r="I68" s="7"/>
      <c r="J68" s="7"/>
      <c r="K68" s="7"/>
      <c r="L68" s="7"/>
      <c r="M68" s="7"/>
    </row>
    <row r="69" spans="2:13" ht="6.75" customHeight="1">
      <c r="B69" s="50"/>
      <c r="C69" s="201"/>
      <c r="D69" s="585"/>
      <c r="E69" s="586"/>
      <c r="F69" s="584"/>
      <c r="G69" s="587"/>
      <c r="H69" s="7"/>
      <c r="I69" s="7"/>
      <c r="J69" s="7"/>
      <c r="K69" s="7"/>
      <c r="L69" s="7"/>
      <c r="M69" s="7"/>
    </row>
    <row r="70" spans="2:13" ht="54" customHeight="1">
      <c r="B70" s="50"/>
      <c r="C70" s="2044" t="s">
        <v>238</v>
      </c>
      <c r="D70" s="2047"/>
      <c r="E70" s="847"/>
      <c r="F70" s="159"/>
      <c r="G70" s="848"/>
      <c r="H70" s="7"/>
      <c r="I70" s="7"/>
      <c r="J70" s="7"/>
      <c r="K70" s="7"/>
      <c r="L70" s="7"/>
      <c r="M70" s="7"/>
    </row>
    <row r="71" spans="2:13" s="120" customFormat="1" ht="6" customHeight="1">
      <c r="B71" s="118"/>
      <c r="C71" s="201"/>
      <c r="D71" s="121"/>
      <c r="E71" s="588"/>
      <c r="F71" s="428"/>
      <c r="G71" s="418"/>
      <c r="H71" s="121"/>
      <c r="I71" s="121"/>
      <c r="J71" s="121"/>
      <c r="K71" s="121"/>
      <c r="L71" s="121"/>
      <c r="M71" s="121"/>
    </row>
    <row r="72" spans="3:6" ht="15">
      <c r="C72" s="496" t="s">
        <v>213</v>
      </c>
      <c r="E72" s="506"/>
      <c r="F72" s="506"/>
    </row>
    <row r="73" spans="2:13" ht="6" customHeight="1">
      <c r="B73" s="50"/>
      <c r="C73" s="201"/>
      <c r="D73" s="121"/>
      <c r="E73" s="588"/>
      <c r="F73" s="159"/>
      <c r="G73" s="418"/>
      <c r="H73" s="7"/>
      <c r="I73" s="7"/>
      <c r="J73" s="7"/>
      <c r="K73" s="7"/>
      <c r="L73" s="7"/>
      <c r="M73" s="7"/>
    </row>
    <row r="74" spans="2:13" ht="15.75" customHeight="1">
      <c r="B74" s="50"/>
      <c r="C74" s="201" t="str">
        <f>Riepilogo!D12</f>
        <v>Develon S.r.l.</v>
      </c>
      <c r="D74" s="121"/>
      <c r="E74" s="588"/>
      <c r="F74" s="159">
        <f>Riepilogo!Z12</f>
        <v>2000000.0000000002</v>
      </c>
      <c r="G74" s="418"/>
      <c r="H74" s="7"/>
      <c r="I74" s="7"/>
      <c r="J74" s="7"/>
      <c r="K74" s="7"/>
      <c r="L74" s="7"/>
      <c r="M74" s="7"/>
    </row>
    <row r="75" spans="2:13" ht="6" customHeight="1">
      <c r="B75" s="50"/>
      <c r="C75" s="201"/>
      <c r="D75" s="119"/>
      <c r="E75" s="490"/>
      <c r="F75" s="584"/>
      <c r="G75" s="424"/>
      <c r="H75" s="7"/>
      <c r="I75" s="7"/>
      <c r="J75" s="7"/>
      <c r="K75" s="7"/>
      <c r="L75" s="7"/>
      <c r="M75" s="7"/>
    </row>
    <row r="76" spans="2:13" s="10" customFormat="1" ht="6" customHeight="1">
      <c r="B76" s="50"/>
      <c r="C76" s="7"/>
      <c r="D76" s="6"/>
      <c r="E76" s="57"/>
      <c r="F76" s="429"/>
      <c r="G76" s="416"/>
      <c r="H76" s="139"/>
      <c r="I76" s="139"/>
      <c r="J76" s="139"/>
      <c r="K76" s="139"/>
      <c r="L76" s="139"/>
      <c r="M76" s="139"/>
    </row>
    <row r="77" spans="2:13" s="10" customFormat="1" ht="6" customHeight="1">
      <c r="B77" s="1"/>
      <c r="C77" s="21"/>
      <c r="D77" s="22"/>
      <c r="E77" s="23"/>
      <c r="F77" s="23"/>
      <c r="G77" s="420"/>
      <c r="H77" s="139"/>
      <c r="I77" s="139"/>
      <c r="J77" s="139"/>
      <c r="K77" s="139"/>
      <c r="L77" s="139"/>
      <c r="M77" s="139"/>
    </row>
    <row r="78" spans="2:13" ht="15.75" customHeight="1">
      <c r="B78" s="50" t="s">
        <v>22</v>
      </c>
      <c r="C78" s="30" t="s">
        <v>23</v>
      </c>
      <c r="D78" s="6"/>
      <c r="E78" s="17">
        <f>SUM(E79:E100)</f>
        <v>0</v>
      </c>
      <c r="F78" s="215">
        <f>F80+F88+F101</f>
        <v>-292000</v>
      </c>
      <c r="G78" s="53">
        <f>SUM(E78:F78)</f>
        <v>-292000</v>
      </c>
      <c r="H78" s="7"/>
      <c r="I78" s="7"/>
      <c r="J78" s="7"/>
      <c r="K78" s="7"/>
      <c r="L78" s="7"/>
      <c r="M78" s="7"/>
    </row>
    <row r="79" spans="2:13" s="10" customFormat="1" ht="6" customHeight="1">
      <c r="B79" s="50"/>
      <c r="C79" s="7"/>
      <c r="D79" s="6"/>
      <c r="E79" s="56"/>
      <c r="F79" s="56"/>
      <c r="G79" s="416"/>
      <c r="H79" s="139"/>
      <c r="I79" s="139"/>
      <c r="J79" s="139"/>
      <c r="K79" s="139"/>
      <c r="L79" s="139"/>
      <c r="M79" s="139"/>
    </row>
    <row r="80" spans="2:13" ht="16.5" customHeight="1">
      <c r="B80" s="50"/>
      <c r="C80" s="7" t="s">
        <v>51</v>
      </c>
      <c r="D80" s="6"/>
      <c r="E80" s="217"/>
      <c r="F80" s="215">
        <f>F86</f>
        <v>0</v>
      </c>
      <c r="G80" s="217"/>
      <c r="H80" s="7"/>
      <c r="I80" s="7"/>
      <c r="J80" s="7"/>
      <c r="K80" s="7"/>
      <c r="L80" s="7"/>
      <c r="M80" s="7"/>
    </row>
    <row r="81" spans="2:13" ht="6.75" customHeight="1">
      <c r="B81" s="50"/>
      <c r="C81" s="7"/>
      <c r="D81" s="6"/>
      <c r="E81" s="217"/>
      <c r="F81" s="215"/>
      <c r="G81" s="217"/>
      <c r="H81" s="7"/>
      <c r="I81" s="7"/>
      <c r="J81" s="7"/>
      <c r="K81" s="7"/>
      <c r="L81" s="7"/>
      <c r="M81" s="7"/>
    </row>
    <row r="82" spans="2:13" ht="15.75" customHeight="1">
      <c r="B82" s="50"/>
      <c r="C82" s="2047" t="s">
        <v>214</v>
      </c>
      <c r="D82" s="2045"/>
      <c r="E82" s="217"/>
      <c r="F82" s="215"/>
      <c r="G82" s="217"/>
      <c r="H82" s="7"/>
      <c r="I82" s="7"/>
      <c r="J82" s="7"/>
      <c r="K82" s="7"/>
      <c r="L82" s="7"/>
      <c r="M82" s="7"/>
    </row>
    <row r="83" spans="2:13" ht="6" customHeight="1">
      <c r="B83" s="50"/>
      <c r="C83" s="7"/>
      <c r="D83" s="6"/>
      <c r="E83" s="217"/>
      <c r="F83" s="215"/>
      <c r="G83" s="217"/>
      <c r="H83" s="7"/>
      <c r="I83" s="7"/>
      <c r="J83" s="7"/>
      <c r="K83" s="7"/>
      <c r="L83" s="7"/>
      <c r="M83" s="7"/>
    </row>
    <row r="84" spans="2:13" ht="23.25" customHeight="1">
      <c r="B84" s="50"/>
      <c r="C84" s="59" t="s">
        <v>29</v>
      </c>
      <c r="D84" s="6"/>
      <c r="E84" s="217"/>
      <c r="F84" s="215"/>
      <c r="G84" s="217"/>
      <c r="H84" s="7"/>
      <c r="I84" s="7"/>
      <c r="J84" s="7"/>
      <c r="K84" s="7"/>
      <c r="L84" s="7"/>
      <c r="M84" s="7"/>
    </row>
    <row r="85" spans="2:13" ht="6" customHeight="1">
      <c r="B85" s="50"/>
      <c r="C85" s="7"/>
      <c r="D85" s="6"/>
      <c r="E85" s="217"/>
      <c r="F85" s="215"/>
      <c r="G85" s="217"/>
      <c r="H85" s="7"/>
      <c r="I85" s="7"/>
      <c r="J85" s="7"/>
      <c r="K85" s="7"/>
      <c r="L85" s="7"/>
      <c r="M85" s="7"/>
    </row>
    <row r="86" spans="2:13" ht="16.5" customHeight="1">
      <c r="B86" s="50"/>
      <c r="C86" s="161" t="str">
        <f>Riepilogo!D67</f>
        <v>APVS S.r.l.</v>
      </c>
      <c r="D86" s="6"/>
      <c r="E86" s="217"/>
      <c r="F86" s="215">
        <f>Riepilogo!AE67+Riepilogo!AF67</f>
        <v>0</v>
      </c>
      <c r="G86" s="217"/>
      <c r="H86" s="7"/>
      <c r="I86" s="7"/>
      <c r="J86" s="7"/>
      <c r="K86" s="7"/>
      <c r="L86" s="7"/>
      <c r="M86" s="7"/>
    </row>
    <row r="87" spans="2:13" ht="6" customHeight="1">
      <c r="B87" s="50"/>
      <c r="C87" s="7"/>
      <c r="D87" s="6"/>
      <c r="E87" s="55"/>
      <c r="F87" s="61"/>
      <c r="G87" s="55"/>
      <c r="H87" s="7"/>
      <c r="I87" s="7"/>
      <c r="J87" s="7"/>
      <c r="K87" s="7"/>
      <c r="L87" s="7"/>
      <c r="M87" s="7"/>
    </row>
    <row r="88" spans="2:13" ht="15.75" customHeight="1">
      <c r="B88" s="50"/>
      <c r="C88" s="7" t="s">
        <v>61</v>
      </c>
      <c r="D88" s="6"/>
      <c r="E88" s="217"/>
      <c r="F88" s="215">
        <f>SUM(F93:F100)</f>
        <v>0</v>
      </c>
      <c r="G88" s="217"/>
      <c r="H88" s="7"/>
      <c r="I88" s="7"/>
      <c r="J88" s="7"/>
      <c r="K88" s="7"/>
      <c r="L88" s="7"/>
      <c r="M88" s="7"/>
    </row>
    <row r="89" spans="2:13" s="10" customFormat="1" ht="6" customHeight="1">
      <c r="B89" s="50"/>
      <c r="C89" s="7"/>
      <c r="D89" s="6"/>
      <c r="E89" s="56"/>
      <c r="F89" s="55"/>
      <c r="G89" s="55"/>
      <c r="H89" s="139"/>
      <c r="I89" s="139"/>
      <c r="J89" s="139"/>
      <c r="K89" s="139"/>
      <c r="L89" s="139"/>
      <c r="M89" s="139"/>
    </row>
    <row r="90" spans="2:13" ht="51" customHeight="1">
      <c r="B90" s="472"/>
      <c r="C90" s="2044" t="s">
        <v>238</v>
      </c>
      <c r="D90" s="2045"/>
      <c r="E90" s="55"/>
      <c r="F90" s="488"/>
      <c r="G90" s="55"/>
      <c r="H90" s="138"/>
      <c r="I90" s="202"/>
      <c r="J90" s="138"/>
      <c r="K90" s="138"/>
      <c r="L90" s="138"/>
      <c r="M90" s="7"/>
    </row>
    <row r="91" spans="2:13" s="10" customFormat="1" ht="6" customHeight="1">
      <c r="B91" s="50"/>
      <c r="C91" s="7"/>
      <c r="D91" s="6"/>
      <c r="E91" s="57"/>
      <c r="F91" s="57"/>
      <c r="G91" s="416"/>
      <c r="H91" s="139"/>
      <c r="I91" s="139"/>
      <c r="J91" s="139"/>
      <c r="K91" s="139"/>
      <c r="L91" s="139"/>
      <c r="M91" s="139"/>
    </row>
    <row r="92" spans="2:13" s="10" customFormat="1" ht="15.75" customHeight="1">
      <c r="B92" s="50"/>
      <c r="C92" s="59" t="s">
        <v>213</v>
      </c>
      <c r="D92" s="6"/>
      <c r="E92" s="54"/>
      <c r="F92" s="54"/>
      <c r="G92" s="489"/>
      <c r="H92" s="139"/>
      <c r="I92" s="139"/>
      <c r="J92" s="139"/>
      <c r="K92" s="139"/>
      <c r="L92" s="139"/>
      <c r="M92" s="139"/>
    </row>
    <row r="93" spans="2:13" s="10" customFormat="1" ht="6" customHeight="1">
      <c r="B93" s="50"/>
      <c r="C93" s="59"/>
      <c r="D93" s="6"/>
      <c r="E93" s="57"/>
      <c r="F93" s="54"/>
      <c r="G93" s="489"/>
      <c r="H93" s="139"/>
      <c r="I93" s="139"/>
      <c r="J93" s="139"/>
      <c r="K93" s="139"/>
      <c r="L93" s="139"/>
      <c r="M93" s="139"/>
    </row>
    <row r="94" spans="2:13" s="10" customFormat="1" ht="15.75" customHeight="1">
      <c r="B94" s="50"/>
      <c r="C94" s="161" t="str">
        <f>Riepilogo!D24</f>
        <v>SI14 S.p.A.</v>
      </c>
      <c r="D94" s="6"/>
      <c r="E94" s="57"/>
      <c r="F94" s="215">
        <f>Riepilogo!AI24</f>
        <v>0</v>
      </c>
      <c r="G94" s="491"/>
      <c r="H94" s="139"/>
      <c r="I94" s="139"/>
      <c r="J94" s="139"/>
      <c r="K94" s="139"/>
      <c r="L94" s="139"/>
      <c r="M94" s="139"/>
    </row>
    <row r="95" spans="2:13" s="10" customFormat="1" ht="6" customHeight="1">
      <c r="B95" s="50"/>
      <c r="C95" s="7"/>
      <c r="D95" s="6"/>
      <c r="E95" s="57"/>
      <c r="F95" s="54"/>
      <c r="G95" s="489"/>
      <c r="H95" s="139"/>
      <c r="I95" s="139"/>
      <c r="J95" s="139"/>
      <c r="K95" s="139"/>
      <c r="L95" s="139"/>
      <c r="M95" s="139"/>
    </row>
    <row r="96" spans="2:13" s="10" customFormat="1" ht="15.75" customHeight="1">
      <c r="B96" s="50"/>
      <c r="C96" s="201" t="str">
        <f>Riepilogo!D46</f>
        <v>Walking Pipe S.p.A. in liquidazione</v>
      </c>
      <c r="D96" s="119"/>
      <c r="E96" s="423"/>
      <c r="F96" s="215">
        <f>Riepilogo!AI46</f>
        <v>0</v>
      </c>
      <c r="G96" s="588"/>
      <c r="H96" s="139"/>
      <c r="I96" s="139"/>
      <c r="J96" s="139"/>
      <c r="K96" s="139"/>
      <c r="L96" s="139"/>
      <c r="M96" s="139"/>
    </row>
    <row r="97" spans="2:13" s="10" customFormat="1" ht="6" customHeight="1">
      <c r="B97" s="50"/>
      <c r="C97" s="59"/>
      <c r="D97" s="6"/>
      <c r="E97" s="57"/>
      <c r="F97" s="469"/>
      <c r="G97" s="489"/>
      <c r="H97" s="139"/>
      <c r="I97" s="139"/>
      <c r="J97" s="139"/>
      <c r="K97" s="139"/>
      <c r="L97" s="139"/>
      <c r="M97" s="139"/>
    </row>
    <row r="98" spans="2:13" s="10" customFormat="1" ht="15.75" customHeight="1">
      <c r="B98" s="50"/>
      <c r="C98" s="161" t="str">
        <f>Riepilogo!D28</f>
        <v>Xeptagen S.p.A.</v>
      </c>
      <c r="D98" s="6"/>
      <c r="E98" s="57"/>
      <c r="F98" s="215">
        <f>Riepilogo!AI28</f>
        <v>0</v>
      </c>
      <c r="G98" s="491"/>
      <c r="H98" s="139"/>
      <c r="I98" s="139"/>
      <c r="J98" s="139"/>
      <c r="K98" s="139"/>
      <c r="L98" s="139"/>
      <c r="M98" s="139"/>
    </row>
    <row r="99" spans="2:13" s="10" customFormat="1" ht="6" customHeight="1">
      <c r="B99" s="50"/>
      <c r="C99" s="59"/>
      <c r="D99" s="6"/>
      <c r="E99" s="57"/>
      <c r="F99" s="54"/>
      <c r="G99" s="489"/>
      <c r="H99" s="139"/>
      <c r="I99" s="139"/>
      <c r="J99" s="139"/>
      <c r="K99" s="139"/>
      <c r="L99" s="139"/>
      <c r="M99" s="139"/>
    </row>
    <row r="100" spans="2:13" s="10" customFormat="1" ht="6" customHeight="1">
      <c r="B100" s="50"/>
      <c r="C100" s="7"/>
      <c r="D100" s="6"/>
      <c r="E100" s="56"/>
      <c r="F100" s="55"/>
      <c r="G100" s="55"/>
      <c r="H100" s="139"/>
      <c r="I100" s="139"/>
      <c r="J100" s="139"/>
      <c r="K100" s="139"/>
      <c r="L100" s="139"/>
      <c r="M100" s="139"/>
    </row>
    <row r="101" spans="2:13" ht="15.75" customHeight="1">
      <c r="B101" s="50"/>
      <c r="C101" s="7" t="s">
        <v>62</v>
      </c>
      <c r="D101" s="6"/>
      <c r="E101" s="217"/>
      <c r="F101" s="215">
        <f>F106</f>
        <v>-292000</v>
      </c>
      <c r="G101" s="217"/>
      <c r="H101" s="621"/>
      <c r="I101" s="7"/>
      <c r="J101" s="7"/>
      <c r="K101" s="7"/>
      <c r="L101" s="7"/>
      <c r="M101" s="7"/>
    </row>
    <row r="102" spans="2:13" s="10" customFormat="1" ht="44.25" customHeight="1">
      <c r="B102" s="50"/>
      <c r="C102" s="2044" t="s">
        <v>238</v>
      </c>
      <c r="D102" s="2045"/>
      <c r="E102" s="57"/>
      <c r="F102" s="54"/>
      <c r="G102" s="215"/>
      <c r="H102" s="139"/>
      <c r="I102" s="139"/>
      <c r="J102" s="139"/>
      <c r="K102" s="139"/>
      <c r="L102" s="139"/>
      <c r="M102" s="139"/>
    </row>
    <row r="103" spans="2:13" s="10" customFormat="1" ht="6" customHeight="1">
      <c r="B103" s="50"/>
      <c r="C103" s="7"/>
      <c r="D103" s="6"/>
      <c r="E103" s="57"/>
      <c r="F103" s="54"/>
      <c r="G103" s="416"/>
      <c r="H103" s="139"/>
      <c r="I103" s="139"/>
      <c r="J103" s="139"/>
      <c r="K103" s="139"/>
      <c r="L103" s="139"/>
      <c r="M103" s="139"/>
    </row>
    <row r="104" spans="2:13" s="10" customFormat="1" ht="11.25" customHeight="1">
      <c r="B104" s="50"/>
      <c r="C104" s="431" t="s">
        <v>213</v>
      </c>
      <c r="D104" s="846"/>
      <c r="E104" s="57"/>
      <c r="F104" s="54"/>
      <c r="G104" s="416"/>
      <c r="H104" s="139"/>
      <c r="I104" s="139"/>
      <c r="J104" s="139"/>
      <c r="K104" s="139"/>
      <c r="L104" s="139"/>
      <c r="M104" s="139"/>
    </row>
    <row r="105" spans="2:13" s="10" customFormat="1" ht="6" customHeight="1">
      <c r="B105" s="50"/>
      <c r="C105" s="7"/>
      <c r="D105" s="6"/>
      <c r="E105" s="57"/>
      <c r="F105" s="54"/>
      <c r="G105" s="416"/>
      <c r="H105" s="139"/>
      <c r="I105" s="139"/>
      <c r="J105" s="139"/>
      <c r="K105" s="139"/>
      <c r="L105" s="139"/>
      <c r="M105" s="139"/>
    </row>
    <row r="106" spans="2:13" s="10" customFormat="1" ht="26.25" customHeight="1">
      <c r="B106" s="50"/>
      <c r="C106" s="161" t="str">
        <f>Riepilogo!D42</f>
        <v>Nuove Energie S.r.l.</v>
      </c>
      <c r="D106" s="6"/>
      <c r="E106" s="57"/>
      <c r="F106" s="215">
        <f>-Riepilogo!AC42</f>
        <v>-292000</v>
      </c>
      <c r="G106" s="416"/>
      <c r="H106" s="139"/>
      <c r="I106" s="139"/>
      <c r="J106" s="139"/>
      <c r="K106" s="139"/>
      <c r="L106" s="139"/>
      <c r="M106" s="139"/>
    </row>
    <row r="107" spans="2:13" s="10" customFormat="1" ht="6" customHeight="1">
      <c r="B107" s="50"/>
      <c r="C107" s="7"/>
      <c r="D107" s="6"/>
      <c r="E107" s="57"/>
      <c r="F107" s="54"/>
      <c r="G107" s="416"/>
      <c r="H107" s="139"/>
      <c r="I107" s="139"/>
      <c r="J107" s="139"/>
      <c r="K107" s="139"/>
      <c r="L107" s="139"/>
      <c r="M107" s="139"/>
    </row>
    <row r="108" spans="2:13" s="10" customFormat="1" ht="6" customHeight="1">
      <c r="B108" s="1"/>
      <c r="C108" s="21"/>
      <c r="D108" s="22"/>
      <c r="E108" s="42"/>
      <c r="F108" s="23"/>
      <c r="G108" s="420"/>
      <c r="H108" s="139"/>
      <c r="I108" s="139"/>
      <c r="J108" s="139"/>
      <c r="K108" s="139"/>
      <c r="L108" s="139"/>
      <c r="M108" s="139"/>
    </row>
    <row r="109" spans="2:13" ht="15.75" customHeight="1">
      <c r="B109" s="50" t="s">
        <v>27</v>
      </c>
      <c r="C109" s="43" t="s">
        <v>28</v>
      </c>
      <c r="D109" s="44"/>
      <c r="E109" s="58">
        <f>E4+E45+E78</f>
        <v>0</v>
      </c>
      <c r="F109" s="53">
        <f>SUM(F115:F148)</f>
        <v>27421766.35</v>
      </c>
      <c r="G109" s="53">
        <f>SUM(E109:F109)</f>
        <v>27421766.35</v>
      </c>
      <c r="H109" s="620"/>
      <c r="I109" s="7"/>
      <c r="J109" s="7"/>
      <c r="K109" s="7"/>
      <c r="L109" s="7"/>
      <c r="M109" s="7"/>
    </row>
    <row r="110" spans="2:13" s="10" customFormat="1" ht="6" customHeight="1">
      <c r="B110" s="50"/>
      <c r="C110" s="7"/>
      <c r="D110" s="6"/>
      <c r="E110" s="57"/>
      <c r="F110" s="55"/>
      <c r="G110" s="55"/>
      <c r="H110" s="139"/>
      <c r="I110" s="139"/>
      <c r="J110" s="139"/>
      <c r="K110" s="139"/>
      <c r="L110" s="139"/>
      <c r="M110" s="139"/>
    </row>
    <row r="111" spans="2:13" ht="51" customHeight="1">
      <c r="B111" s="472"/>
      <c r="C111" s="2044" t="s">
        <v>238</v>
      </c>
      <c r="D111" s="2045"/>
      <c r="E111" s="55"/>
      <c r="F111" s="488"/>
      <c r="G111" s="55"/>
      <c r="H111" s="620"/>
      <c r="I111" s="138"/>
      <c r="J111" s="138"/>
      <c r="K111" s="138"/>
      <c r="L111" s="138"/>
      <c r="M111" s="7"/>
    </row>
    <row r="112" spans="2:13" s="10" customFormat="1" ht="6" customHeight="1">
      <c r="B112" s="50"/>
      <c r="C112" s="7"/>
      <c r="D112" s="6"/>
      <c r="E112" s="57"/>
      <c r="F112" s="55"/>
      <c r="G112" s="55"/>
      <c r="H112" s="139"/>
      <c r="I112" s="139"/>
      <c r="J112" s="139"/>
      <c r="K112" s="139"/>
      <c r="L112" s="139"/>
      <c r="M112" s="139"/>
    </row>
    <row r="113" spans="2:13" s="10" customFormat="1" ht="15.75" customHeight="1">
      <c r="B113" s="50"/>
      <c r="C113" s="59" t="s">
        <v>213</v>
      </c>
      <c r="D113" s="6"/>
      <c r="E113" s="54"/>
      <c r="F113" s="54"/>
      <c r="G113" s="489"/>
      <c r="H113" s="139"/>
      <c r="I113" s="139"/>
      <c r="J113" s="139"/>
      <c r="K113" s="139"/>
      <c r="L113" s="139"/>
      <c r="M113" s="139"/>
    </row>
    <row r="114" spans="2:13" s="10" customFormat="1" ht="6" customHeight="1">
      <c r="B114" s="50"/>
      <c r="C114" s="7"/>
      <c r="D114" s="6"/>
      <c r="E114" s="57"/>
      <c r="F114" s="54"/>
      <c r="G114" s="416"/>
      <c r="H114" s="139"/>
      <c r="I114" s="139"/>
      <c r="J114" s="139"/>
      <c r="K114" s="139"/>
      <c r="L114" s="139"/>
      <c r="M114" s="139"/>
    </row>
    <row r="115" spans="2:13" ht="15.75" customHeight="1">
      <c r="B115" s="50"/>
      <c r="C115" s="78" t="str">
        <f>Riepilogo!D44</f>
        <v>Adaptica S.r.l.</v>
      </c>
      <c r="D115" s="6"/>
      <c r="E115" s="207"/>
      <c r="F115" s="61">
        <f>Riepilogo!AM44</f>
        <v>642816.74</v>
      </c>
      <c r="G115" s="416"/>
      <c r="H115" s="622"/>
      <c r="I115" s="7"/>
      <c r="J115" s="7"/>
      <c r="K115" s="7"/>
      <c r="L115" s="7"/>
      <c r="M115" s="7"/>
    </row>
    <row r="116" spans="2:13" s="10" customFormat="1" ht="6" customHeight="1">
      <c r="B116" s="50"/>
      <c r="C116" s="7"/>
      <c r="D116" s="6"/>
      <c r="E116" s="57"/>
      <c r="F116" s="54"/>
      <c r="G116" s="416"/>
      <c r="H116" s="139"/>
      <c r="I116" s="139"/>
      <c r="J116" s="139"/>
      <c r="K116" s="139"/>
      <c r="L116" s="139"/>
      <c r="M116" s="139"/>
    </row>
    <row r="117" spans="2:13" ht="15.75" customHeight="1">
      <c r="B117" s="50"/>
      <c r="C117" s="78" t="str">
        <f>Riepilogo!D10</f>
        <v>Cielle S.r.l.</v>
      </c>
      <c r="D117" s="6"/>
      <c r="E117" s="207"/>
      <c r="F117" s="61">
        <f>Riepilogo!AM10</f>
        <v>0</v>
      </c>
      <c r="G117" s="416"/>
      <c r="H117" s="7"/>
      <c r="I117" s="7"/>
      <c r="J117" s="7"/>
      <c r="K117" s="7"/>
      <c r="L117" s="7"/>
      <c r="M117" s="7"/>
    </row>
    <row r="118" spans="2:13" s="10" customFormat="1" ht="6" customHeight="1">
      <c r="B118" s="50"/>
      <c r="C118" s="7"/>
      <c r="D118" s="6"/>
      <c r="E118" s="57"/>
      <c r="F118" s="57"/>
      <c r="G118" s="416"/>
      <c r="H118" s="139"/>
      <c r="I118" s="139"/>
      <c r="J118" s="139"/>
      <c r="K118" s="139"/>
      <c r="L118" s="139"/>
      <c r="M118" s="139"/>
    </row>
    <row r="119" spans="2:13" s="10" customFormat="1" ht="18" customHeight="1">
      <c r="B119" s="50"/>
      <c r="C119" s="2048" t="str">
        <f>Riepilogo!D12</f>
        <v>Develon S.r.l.</v>
      </c>
      <c r="D119" s="1994"/>
      <c r="E119" s="57"/>
      <c r="F119" s="57">
        <f>Riepilogo!AM12</f>
        <v>2000000.0000000002</v>
      </c>
      <c r="G119" s="416"/>
      <c r="H119" s="139"/>
      <c r="I119" s="139"/>
      <c r="J119" s="139"/>
      <c r="K119" s="139"/>
      <c r="L119" s="139"/>
      <c r="M119" s="139"/>
    </row>
    <row r="120" spans="2:13" s="10" customFormat="1" ht="6" customHeight="1">
      <c r="B120" s="50"/>
      <c r="C120" s="7"/>
      <c r="D120" s="6"/>
      <c r="E120" s="57"/>
      <c r="F120" s="57"/>
      <c r="G120" s="416"/>
      <c r="H120" s="139"/>
      <c r="I120" s="139"/>
      <c r="J120" s="139"/>
      <c r="K120" s="139"/>
      <c r="L120" s="139"/>
      <c r="M120" s="139"/>
    </row>
    <row r="121" spans="2:13" ht="15.75" customHeight="1">
      <c r="B121" s="50"/>
      <c r="C121" s="157" t="str">
        <f>Riepilogo!D14</f>
        <v>Garmont International S.r.l.</v>
      </c>
      <c r="D121" s="6"/>
      <c r="E121" s="207"/>
      <c r="F121" s="61">
        <f>Riepilogo!AM14</f>
        <v>0</v>
      </c>
      <c r="G121" s="416"/>
      <c r="H121" s="7"/>
      <c r="I121" s="7"/>
      <c r="J121" s="7"/>
      <c r="K121" s="7"/>
      <c r="L121" s="7"/>
      <c r="M121" s="7"/>
    </row>
    <row r="122" spans="2:13" s="10" customFormat="1" ht="6" customHeight="1">
      <c r="B122" s="50"/>
      <c r="C122" s="7"/>
      <c r="D122" s="6"/>
      <c r="E122" s="57"/>
      <c r="F122" s="57"/>
      <c r="G122" s="416"/>
      <c r="H122" s="139"/>
      <c r="I122" s="139"/>
      <c r="J122" s="139"/>
      <c r="K122" s="139"/>
      <c r="L122" s="139"/>
      <c r="M122" s="139"/>
    </row>
    <row r="123" spans="2:13" ht="15.75" customHeight="1">
      <c r="B123" s="50"/>
      <c r="C123" s="157" t="str">
        <f>Riepilogo!D16</f>
        <v>Interplanet S.r.l.</v>
      </c>
      <c r="D123" s="6"/>
      <c r="E123" s="207"/>
      <c r="F123" s="61">
        <f>Riepilogo!AM16</f>
        <v>750000</v>
      </c>
      <c r="G123" s="416"/>
      <c r="H123" s="7"/>
      <c r="I123" s="7"/>
      <c r="J123" s="7"/>
      <c r="K123" s="7"/>
      <c r="L123" s="7"/>
      <c r="M123" s="7"/>
    </row>
    <row r="124" spans="2:13" s="10" customFormat="1" ht="6" customHeight="1">
      <c r="B124" s="50"/>
      <c r="C124" s="7"/>
      <c r="D124" s="6"/>
      <c r="E124" s="57"/>
      <c r="F124" s="57"/>
      <c r="G124" s="416"/>
      <c r="H124" s="139"/>
      <c r="I124" s="139"/>
      <c r="J124" s="139"/>
      <c r="K124" s="139"/>
      <c r="L124" s="139"/>
      <c r="M124" s="139"/>
    </row>
    <row r="125" spans="2:13" ht="15.75" customHeight="1">
      <c r="B125" s="50"/>
      <c r="C125" s="157" t="str">
        <f>Riepilogo!D18</f>
        <v>Neurimpulse S.r.l.</v>
      </c>
      <c r="D125" s="6"/>
      <c r="E125" s="207"/>
      <c r="F125" s="61">
        <f>Riepilogo!AM18</f>
        <v>600000</v>
      </c>
      <c r="G125" s="416"/>
      <c r="H125" s="7"/>
      <c r="I125" s="7"/>
      <c r="J125" s="7"/>
      <c r="K125" s="7"/>
      <c r="L125" s="7"/>
      <c r="M125" s="7"/>
    </row>
    <row r="126" spans="2:13" ht="6" customHeight="1">
      <c r="B126" s="50"/>
      <c r="C126" s="157"/>
      <c r="D126" s="6"/>
      <c r="E126" s="207"/>
      <c r="F126" s="203"/>
      <c r="G126" s="416"/>
      <c r="H126" s="7"/>
      <c r="I126" s="7"/>
      <c r="J126" s="7"/>
      <c r="K126" s="7"/>
      <c r="L126" s="7"/>
      <c r="M126" s="7"/>
    </row>
    <row r="127" spans="2:13" ht="15.75" customHeight="1">
      <c r="B127" s="50"/>
      <c r="C127" s="157" t="str">
        <f>Riepilogo!D20</f>
        <v>Officina Stellare S.r.l.</v>
      </c>
      <c r="D127" s="6"/>
      <c r="E127" s="207"/>
      <c r="F127" s="203">
        <f>Riepilogo!AM20</f>
        <v>500000</v>
      </c>
      <c r="G127" s="416"/>
      <c r="H127" s="7"/>
      <c r="I127" s="7"/>
      <c r="J127" s="7"/>
      <c r="K127" s="7"/>
      <c r="L127" s="7"/>
      <c r="M127" s="7"/>
    </row>
    <row r="128" spans="2:13" ht="6" customHeight="1">
      <c r="B128" s="50"/>
      <c r="C128" s="157"/>
      <c r="D128" s="6"/>
      <c r="E128" s="207"/>
      <c r="F128" s="203"/>
      <c r="G128" s="416"/>
      <c r="H128" s="7"/>
      <c r="I128" s="7"/>
      <c r="J128" s="7"/>
      <c r="K128" s="7"/>
      <c r="L128" s="7"/>
      <c r="M128" s="7"/>
    </row>
    <row r="129" spans="2:13" ht="15.75" customHeight="1">
      <c r="B129" s="50"/>
      <c r="C129" s="157" t="str">
        <f>Riepilogo!D22</f>
        <v>OTS S.r.l.</v>
      </c>
      <c r="D129" s="6"/>
      <c r="E129" s="207"/>
      <c r="F129" s="203">
        <f>Riepilogo!AM22</f>
        <v>800000</v>
      </c>
      <c r="G129" s="416"/>
      <c r="H129" s="7"/>
      <c r="I129" s="498"/>
      <c r="J129" s="7"/>
      <c r="K129" s="7"/>
      <c r="L129" s="7"/>
      <c r="M129" s="7"/>
    </row>
    <row r="130" spans="2:13" s="10" customFormat="1" ht="6" customHeight="1">
      <c r="B130" s="50"/>
      <c r="C130" s="7"/>
      <c r="D130" s="6"/>
      <c r="E130" s="57"/>
      <c r="F130" s="57"/>
      <c r="G130" s="416"/>
      <c r="H130" s="139"/>
      <c r="I130" s="619"/>
      <c r="J130" s="139"/>
      <c r="K130" s="139"/>
      <c r="L130" s="139"/>
      <c r="M130" s="139"/>
    </row>
    <row r="131" spans="2:13" ht="15.75" customHeight="1">
      <c r="B131" s="50"/>
      <c r="C131" s="157" t="str">
        <f>Riepilogo!D24</f>
        <v>SI14 S.p.A.</v>
      </c>
      <c r="D131" s="6"/>
      <c r="E131" s="207"/>
      <c r="F131" s="61">
        <f>Riepilogo!AM24</f>
        <v>0</v>
      </c>
      <c r="G131" s="416"/>
      <c r="H131" s="7"/>
      <c r="I131" s="498"/>
      <c r="J131" s="7"/>
      <c r="K131" s="7"/>
      <c r="L131" s="7"/>
      <c r="M131" s="7"/>
    </row>
    <row r="132" spans="2:13" s="10" customFormat="1" ht="6" customHeight="1">
      <c r="B132" s="50"/>
      <c r="C132" s="7"/>
      <c r="D132" s="6"/>
      <c r="E132" s="57"/>
      <c r="F132" s="57"/>
      <c r="G132" s="416"/>
      <c r="H132" s="139"/>
      <c r="I132" s="139"/>
      <c r="J132" s="139"/>
      <c r="K132" s="139"/>
      <c r="L132" s="139"/>
      <c r="M132" s="139"/>
    </row>
    <row r="133" spans="2:13" ht="15.75" customHeight="1">
      <c r="B133" s="50"/>
      <c r="C133" s="157" t="str">
        <f>Riepilogo!D46</f>
        <v>Walking Pipe S.p.A. in liquidazione</v>
      </c>
      <c r="D133" s="6"/>
      <c r="E133" s="207"/>
      <c r="F133" s="203">
        <f>Riepilogo!AM46</f>
        <v>1</v>
      </c>
      <c r="G133" s="416"/>
      <c r="H133" s="7"/>
      <c r="I133" s="7"/>
      <c r="J133" s="7"/>
      <c r="K133" s="7"/>
      <c r="L133" s="7"/>
      <c r="M133" s="7"/>
    </row>
    <row r="134" spans="2:13" s="10" customFormat="1" ht="6" customHeight="1">
      <c r="B134" s="50"/>
      <c r="C134" s="7"/>
      <c r="D134" s="6"/>
      <c r="E134" s="57"/>
      <c r="F134" s="57"/>
      <c r="G134" s="416"/>
      <c r="H134" s="139"/>
      <c r="I134" s="139"/>
      <c r="J134" s="139"/>
      <c r="K134" s="139"/>
      <c r="L134" s="139"/>
      <c r="M134" s="139"/>
    </row>
    <row r="135" spans="2:13" ht="15.75" customHeight="1">
      <c r="B135" s="50"/>
      <c r="C135" s="78" t="str">
        <f>Riepilogo!D28</f>
        <v>Xeptagen S.p.A.</v>
      </c>
      <c r="D135" s="6"/>
      <c r="E135" s="207"/>
      <c r="F135" s="61">
        <f>Riepilogo!AM28</f>
        <v>464143</v>
      </c>
      <c r="G135" s="416"/>
      <c r="H135" s="7"/>
      <c r="I135" s="498"/>
      <c r="J135" s="7"/>
      <c r="K135" s="7"/>
      <c r="L135" s="7"/>
      <c r="M135" s="7"/>
    </row>
    <row r="136" spans="2:13" s="10" customFormat="1" ht="6" customHeight="1">
      <c r="B136" s="50"/>
      <c r="C136" s="7"/>
      <c r="D136" s="6"/>
      <c r="E136" s="57"/>
      <c r="F136" s="57"/>
      <c r="G136" s="416"/>
      <c r="H136" s="139"/>
      <c r="I136" s="139"/>
      <c r="J136" s="139"/>
      <c r="K136" s="139"/>
      <c r="L136" s="139"/>
      <c r="M136" s="139"/>
    </row>
    <row r="137" spans="2:13" ht="15.75" customHeight="1">
      <c r="B137" s="50"/>
      <c r="C137" s="78" t="str">
        <f>Riepilogo!D30</f>
        <v>Zen Fonderie S.r.l.</v>
      </c>
      <c r="D137" s="6"/>
      <c r="E137" s="207"/>
      <c r="F137" s="61">
        <f>Riepilogo!AM30</f>
        <v>700000</v>
      </c>
      <c r="G137" s="416"/>
      <c r="H137" s="7"/>
      <c r="I137" s="7"/>
      <c r="J137" s="7"/>
      <c r="K137" s="7"/>
      <c r="L137" s="7"/>
      <c r="M137" s="7"/>
    </row>
    <row r="138" spans="2:13" s="10" customFormat="1" ht="6" customHeight="1">
      <c r="B138" s="50"/>
      <c r="C138" s="7"/>
      <c r="D138" s="6"/>
      <c r="E138" s="57"/>
      <c r="F138" s="57"/>
      <c r="G138" s="416"/>
      <c r="H138" s="139"/>
      <c r="I138" s="139"/>
      <c r="J138" s="139"/>
      <c r="K138" s="139"/>
      <c r="L138" s="139"/>
      <c r="M138" s="139"/>
    </row>
    <row r="139" spans="2:13" s="10" customFormat="1" ht="15.75" customHeight="1">
      <c r="B139" s="50"/>
      <c r="C139" s="2047" t="s">
        <v>214</v>
      </c>
      <c r="D139" s="2045"/>
      <c r="E139" s="57"/>
      <c r="F139" s="57"/>
      <c r="G139" s="416"/>
      <c r="H139" s="139"/>
      <c r="I139" s="139"/>
      <c r="J139" s="139"/>
      <c r="K139" s="139"/>
      <c r="L139" s="139"/>
      <c r="M139" s="139"/>
    </row>
    <row r="140" spans="2:13" s="10" customFormat="1" ht="6" customHeight="1">
      <c r="B140" s="50"/>
      <c r="C140" s="7"/>
      <c r="D140" s="6"/>
      <c r="E140" s="57"/>
      <c r="F140" s="57"/>
      <c r="G140" s="416"/>
      <c r="H140" s="139"/>
      <c r="I140" s="139"/>
      <c r="J140" s="139"/>
      <c r="K140" s="139"/>
      <c r="L140" s="139"/>
      <c r="M140" s="139"/>
    </row>
    <row r="141" spans="2:13" s="10" customFormat="1" ht="15.75" customHeight="1">
      <c r="B141" s="50"/>
      <c r="C141" s="59" t="s">
        <v>29</v>
      </c>
      <c r="D141" s="6"/>
      <c r="E141" s="54"/>
      <c r="F141" s="54"/>
      <c r="G141" s="489"/>
      <c r="H141" s="139"/>
      <c r="I141" s="139"/>
      <c r="J141" s="139"/>
      <c r="K141" s="139"/>
      <c r="L141" s="139"/>
      <c r="M141" s="139"/>
    </row>
    <row r="142" spans="2:13" s="10" customFormat="1" ht="6" customHeight="1">
      <c r="B142" s="50"/>
      <c r="C142" s="7"/>
      <c r="D142" s="6"/>
      <c r="E142" s="57"/>
      <c r="F142" s="54"/>
      <c r="G142" s="416"/>
      <c r="H142" s="139"/>
      <c r="I142" s="139"/>
      <c r="J142" s="139"/>
      <c r="K142" s="139"/>
      <c r="L142" s="139"/>
      <c r="M142" s="139"/>
    </row>
    <row r="143" spans="2:13" ht="15.75" customHeight="1">
      <c r="B143" s="50"/>
      <c r="C143" s="78" t="str">
        <f>Riepilogo!D69</f>
        <v>Enrive S.p.A.</v>
      </c>
      <c r="D143" s="6"/>
      <c r="E143" s="207"/>
      <c r="F143" s="61">
        <f>Riepilogo!AM69</f>
        <v>1744985.04</v>
      </c>
      <c r="G143" s="416"/>
      <c r="H143" s="7"/>
      <c r="I143" s="7"/>
      <c r="J143" s="7"/>
      <c r="K143" s="7"/>
      <c r="L143" s="7"/>
      <c r="M143" s="7"/>
    </row>
    <row r="144" spans="2:13" s="10" customFormat="1" ht="6" customHeight="1">
      <c r="B144" s="50"/>
      <c r="C144" s="78"/>
      <c r="D144" s="6"/>
      <c r="E144" s="207"/>
      <c r="F144" s="61"/>
      <c r="G144" s="55"/>
      <c r="H144" s="139"/>
      <c r="I144" s="139"/>
      <c r="J144" s="139"/>
      <c r="K144" s="139"/>
      <c r="L144" s="139"/>
      <c r="M144" s="139"/>
    </row>
    <row r="145" spans="2:13" ht="15.75" customHeight="1">
      <c r="B145" s="50"/>
      <c r="C145" s="157" t="str">
        <f>Riepilogo!D60</f>
        <v>FVS S.G.R. S.p.A.</v>
      </c>
      <c r="D145" s="6"/>
      <c r="E145" s="207"/>
      <c r="F145" s="61">
        <f>Riepilogo!AM60</f>
        <v>2410288.3600000003</v>
      </c>
      <c r="G145" s="416"/>
      <c r="H145" s="7"/>
      <c r="I145" s="7"/>
      <c r="J145" s="7"/>
      <c r="K145" s="7"/>
      <c r="L145" s="7"/>
      <c r="M145" s="7"/>
    </row>
    <row r="146" spans="2:13" ht="6" customHeight="1">
      <c r="B146" s="50"/>
      <c r="E146" s="44"/>
      <c r="F146" s="44"/>
      <c r="G146" s="416"/>
      <c r="H146" s="7"/>
      <c r="I146" s="7"/>
      <c r="J146" s="7"/>
      <c r="K146" s="7"/>
      <c r="L146" s="7"/>
      <c r="M146" s="7"/>
    </row>
    <row r="147" spans="2:13" ht="15.75" customHeight="1">
      <c r="B147" s="50"/>
      <c r="C147" s="845" t="str">
        <f>Riepilogo!D67</f>
        <v>APVS S.r.l.</v>
      </c>
      <c r="E147" s="44"/>
      <c r="F147" s="61">
        <f>Riepilogo!AM67</f>
        <v>16809532.21</v>
      </c>
      <c r="G147" s="416"/>
      <c r="H147" s="7"/>
      <c r="I147" s="7"/>
      <c r="J147" s="7"/>
      <c r="K147" s="7"/>
      <c r="L147" s="7"/>
      <c r="M147" s="7"/>
    </row>
    <row r="148" spans="2:13" s="10" customFormat="1" ht="6" customHeight="1">
      <c r="B148" s="50"/>
      <c r="C148" s="7"/>
      <c r="D148" s="6"/>
      <c r="E148" s="57"/>
      <c r="F148" s="54"/>
      <c r="G148" s="416"/>
      <c r="H148" s="139"/>
      <c r="I148" s="139"/>
      <c r="J148" s="139"/>
      <c r="K148" s="139"/>
      <c r="L148" s="139"/>
      <c r="M148" s="139"/>
    </row>
    <row r="149" spans="2:7" s="10" customFormat="1" ht="6" customHeight="1">
      <c r="B149" s="63"/>
      <c r="C149" s="26"/>
      <c r="D149" s="27"/>
      <c r="E149" s="430"/>
      <c r="F149" s="425"/>
      <c r="G149" s="434"/>
    </row>
    <row r="150" ht="15">
      <c r="C150" s="120"/>
    </row>
    <row r="151" spans="5:9" ht="15">
      <c r="E151" s="188"/>
      <c r="F151" s="2040" t="s">
        <v>211</v>
      </c>
      <c r="G151" s="967">
        <f>G4+G45+G78-G109</f>
        <v>1136103.7299999967</v>
      </c>
      <c r="H151" s="969" t="str">
        <f>IF(G151=0,"quadra","non quadra")</f>
        <v>non quadra</v>
      </c>
      <c r="I151" s="487"/>
    </row>
    <row r="152" spans="5:8" ht="14.25">
      <c r="E152" s="188"/>
      <c r="F152" s="2040"/>
      <c r="G152" s="967">
        <f>G109-Riepilogo!AM32-Riepilogo!AM65-Riepilogo!AM71</f>
        <v>2152386.1900000013</v>
      </c>
      <c r="H152" s="969" t="str">
        <f>IF(G152=0,"quadra","non quadra")</f>
        <v>non quadra</v>
      </c>
    </row>
    <row r="154" ht="15">
      <c r="G154" s="492"/>
    </row>
  </sheetData>
  <sheetProtection/>
  <mergeCells count="17">
    <mergeCell ref="C111:D111"/>
    <mergeCell ref="C60:D60"/>
    <mergeCell ref="C50:D50"/>
    <mergeCell ref="C63:D64"/>
    <mergeCell ref="C70:D70"/>
    <mergeCell ref="C102:D102"/>
    <mergeCell ref="C53:D53"/>
    <mergeCell ref="F151:F152"/>
    <mergeCell ref="C90:D90"/>
    <mergeCell ref="B2:D2"/>
    <mergeCell ref="C34:D34"/>
    <mergeCell ref="C139:D139"/>
    <mergeCell ref="C6:D6"/>
    <mergeCell ref="C49:D49"/>
    <mergeCell ref="C119:D119"/>
    <mergeCell ref="C56:D56"/>
    <mergeCell ref="C82:D82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B2:U103"/>
  <sheetViews>
    <sheetView view="pageBreakPreview" zoomScaleSheetLayoutView="100" zoomScalePageLayoutView="0" workbookViewId="0" topLeftCell="A1">
      <pane xSplit="5" ySplit="2" topLeftCell="F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L24" sqref="L24"/>
    </sheetView>
  </sheetViews>
  <sheetFormatPr defaultColWidth="31.57421875" defaultRowHeight="12.75"/>
  <cols>
    <col min="1" max="1" width="1.7109375" style="996" customWidth="1"/>
    <col min="2" max="2" width="3.57421875" style="995" customWidth="1"/>
    <col min="3" max="3" width="18.7109375" style="996" customWidth="1"/>
    <col min="4" max="4" width="8.140625" style="996" customWidth="1"/>
    <col min="5" max="5" width="13.28125" style="996" customWidth="1"/>
    <col min="6" max="6" width="26.57421875" style="996" customWidth="1"/>
    <col min="7" max="7" width="11.57421875" style="996" customWidth="1"/>
    <col min="8" max="8" width="11.57421875" style="996" bestFit="1" customWidth="1"/>
    <col min="9" max="9" width="13.28125" style="996" customWidth="1"/>
    <col min="10" max="10" width="12.421875" style="996" customWidth="1"/>
    <col min="11" max="11" width="12.140625" style="996" customWidth="1"/>
    <col min="12" max="12" width="15.421875" style="996" customWidth="1"/>
    <col min="13" max="13" width="12.28125" style="996" customWidth="1"/>
    <col min="14" max="14" width="13.28125" style="996" customWidth="1"/>
    <col min="15" max="15" width="11.140625" style="996" customWidth="1"/>
    <col min="16" max="16" width="11.421875" style="996" customWidth="1"/>
    <col min="17" max="17" width="2.8515625" style="996" customWidth="1"/>
    <col min="18" max="16384" width="31.57421875" style="996" customWidth="1"/>
  </cols>
  <sheetData>
    <row r="1" ht="6.75" customHeight="1"/>
    <row r="2" spans="2:21" s="998" customFormat="1" ht="99.75">
      <c r="B2" s="2059" t="s">
        <v>374</v>
      </c>
      <c r="C2" s="2059"/>
      <c r="D2" s="2059"/>
      <c r="E2" s="227" t="s">
        <v>340</v>
      </c>
      <c r="F2" s="227" t="s">
        <v>373</v>
      </c>
      <c r="G2" s="227" t="s">
        <v>343</v>
      </c>
      <c r="H2" s="227" t="s">
        <v>338</v>
      </c>
      <c r="I2" s="227" t="s">
        <v>339</v>
      </c>
      <c r="J2" s="227" t="s">
        <v>363</v>
      </c>
      <c r="K2" s="227" t="s">
        <v>380</v>
      </c>
      <c r="L2" s="227" t="s">
        <v>379</v>
      </c>
      <c r="M2" s="227" t="s">
        <v>381</v>
      </c>
      <c r="N2" s="227" t="s">
        <v>382</v>
      </c>
      <c r="O2" s="227" t="s">
        <v>196</v>
      </c>
      <c r="P2" s="227" t="s">
        <v>344</v>
      </c>
      <c r="Q2" s="997"/>
      <c r="R2" s="997"/>
      <c r="S2" s="997"/>
      <c r="T2" s="997"/>
      <c r="U2" s="997"/>
    </row>
    <row r="3" spans="2:21" ht="6" customHeight="1">
      <c r="B3" s="50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99"/>
      <c r="R3" s="999"/>
      <c r="S3" s="999"/>
      <c r="T3" s="999"/>
      <c r="U3" s="999"/>
    </row>
    <row r="4" spans="2:21" s="1002" customFormat="1" ht="95.25" customHeight="1">
      <c r="B4" s="118"/>
      <c r="C4" s="2056" t="s">
        <v>238</v>
      </c>
      <c r="D4" s="2057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1000"/>
      <c r="R4" s="1000"/>
      <c r="S4" s="1000"/>
      <c r="T4" s="1000"/>
      <c r="U4" s="1001"/>
    </row>
    <row r="5" spans="2:21" ht="6" customHeight="1">
      <c r="B5" s="118"/>
      <c r="C5" s="121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999"/>
      <c r="R5" s="999"/>
      <c r="S5" s="999"/>
      <c r="T5" s="999"/>
      <c r="U5" s="999"/>
    </row>
    <row r="6" spans="2:21" ht="14.25">
      <c r="B6" s="118"/>
      <c r="C6" s="599" t="s">
        <v>213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999"/>
      <c r="R6" s="999"/>
      <c r="S6" s="999"/>
      <c r="T6" s="999"/>
      <c r="U6" s="999"/>
    </row>
    <row r="7" spans="2:21" ht="6" customHeight="1">
      <c r="B7" s="118"/>
      <c r="C7" s="121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999"/>
      <c r="R7" s="999"/>
      <c r="S7" s="999"/>
      <c r="T7" s="999"/>
      <c r="U7" s="999"/>
    </row>
    <row r="8" spans="2:21" s="1002" customFormat="1" ht="14.25">
      <c r="B8" s="600"/>
      <c r="C8" s="121" t="str">
        <f>'[1]Riepilogo'!D10</f>
        <v>Adaptica S.r.l.</v>
      </c>
      <c r="D8" s="585"/>
      <c r="E8" s="222" t="s">
        <v>341</v>
      </c>
      <c r="F8" s="500">
        <v>877272</v>
      </c>
      <c r="G8" s="500">
        <v>3594039</v>
      </c>
      <c r="H8" s="601">
        <v>968379</v>
      </c>
      <c r="I8" s="500">
        <v>214476</v>
      </c>
      <c r="J8" s="500">
        <v>2447464</v>
      </c>
      <c r="K8" s="602">
        <v>-243110</v>
      </c>
      <c r="L8" s="603"/>
      <c r="M8" s="602">
        <v>-245421</v>
      </c>
      <c r="N8" s="603"/>
      <c r="O8" s="603"/>
      <c r="P8" s="604">
        <f>'[1]Riepilogo'!K10</f>
        <v>15</v>
      </c>
      <c r="Q8" s="1001"/>
      <c r="R8" s="1001"/>
      <c r="S8" s="1001"/>
      <c r="T8" s="1001"/>
      <c r="U8" s="1001"/>
    </row>
    <row r="9" spans="2:21" ht="6" customHeight="1">
      <c r="B9" s="118"/>
      <c r="C9" s="121"/>
      <c r="D9" s="119"/>
      <c r="E9" s="49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1"/>
      <c r="Q9" s="999"/>
      <c r="R9" s="999"/>
      <c r="S9" s="999"/>
      <c r="T9" s="999"/>
      <c r="U9" s="999"/>
    </row>
    <row r="10" spans="2:21" s="1002" customFormat="1" ht="14.25">
      <c r="B10" s="600"/>
      <c r="C10" s="121" t="str">
        <f>'[1]Riepilogo'!D12</f>
        <v>Cielle S.r.l.</v>
      </c>
      <c r="D10" s="585"/>
      <c r="E10" s="222" t="s">
        <v>341</v>
      </c>
      <c r="F10" s="500">
        <v>5863623</v>
      </c>
      <c r="G10" s="500">
        <v>1034320</v>
      </c>
      <c r="H10" s="500">
        <f>2402093+3580+1600028+231453+27938+403166</f>
        <v>4668258</v>
      </c>
      <c r="I10" s="500">
        <f>403476</f>
        <v>403476</v>
      </c>
      <c r="J10" s="500">
        <v>5426305</v>
      </c>
      <c r="K10" s="602">
        <v>134250</v>
      </c>
      <c r="L10" s="603"/>
      <c r="M10" s="500">
        <v>21840</v>
      </c>
      <c r="N10" s="603"/>
      <c r="O10" s="603"/>
      <c r="P10" s="501" t="str">
        <f>'[1]Riepilogo'!K12</f>
        <v>04/16</v>
      </c>
      <c r="Q10" s="1001"/>
      <c r="R10" s="1001"/>
      <c r="S10" s="1001"/>
      <c r="T10" s="1001"/>
      <c r="U10" s="1001"/>
    </row>
    <row r="11" spans="2:21" ht="6" customHeight="1">
      <c r="B11" s="600"/>
      <c r="C11" s="121"/>
      <c r="D11" s="585"/>
      <c r="E11" s="222"/>
      <c r="F11" s="500"/>
      <c r="G11" s="500"/>
      <c r="H11" s="500"/>
      <c r="I11" s="500"/>
      <c r="J11" s="500"/>
      <c r="K11" s="602"/>
      <c r="L11" s="603"/>
      <c r="M11" s="500"/>
      <c r="N11" s="603"/>
      <c r="O11" s="603"/>
      <c r="P11" s="501"/>
      <c r="Q11" s="999"/>
      <c r="R11" s="999"/>
      <c r="S11" s="999"/>
      <c r="T11" s="999"/>
      <c r="U11" s="999"/>
    </row>
    <row r="12" spans="2:21" s="1002" customFormat="1" ht="14.25">
      <c r="B12" s="600"/>
      <c r="C12" s="201" t="str">
        <f>'[1]Riepilogo'!D14</f>
        <v>Develon S.r.l.</v>
      </c>
      <c r="D12" s="585"/>
      <c r="E12" s="222" t="s">
        <v>341</v>
      </c>
      <c r="F12" s="500">
        <v>4295189</v>
      </c>
      <c r="G12" s="500">
        <v>736556</v>
      </c>
      <c r="H12" s="500">
        <v>1482608</v>
      </c>
      <c r="I12" s="500">
        <v>522281</v>
      </c>
      <c r="J12" s="500">
        <v>3286745</v>
      </c>
      <c r="K12" s="602">
        <v>-327794</v>
      </c>
      <c r="L12" s="603"/>
      <c r="M12" s="500">
        <v>51032</v>
      </c>
      <c r="N12" s="603"/>
      <c r="O12" s="603"/>
      <c r="P12" s="501">
        <f>'[1]Riepilogo'!K14</f>
        <v>15</v>
      </c>
      <c r="Q12" s="1001"/>
      <c r="R12" s="1001"/>
      <c r="S12" s="1001"/>
      <c r="T12" s="1001"/>
      <c r="U12" s="1001"/>
    </row>
    <row r="13" spans="2:21" ht="6" customHeight="1">
      <c r="B13" s="118"/>
      <c r="C13" s="121"/>
      <c r="D13" s="119"/>
      <c r="E13" s="49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1"/>
      <c r="Q13" s="999"/>
      <c r="R13" s="999"/>
      <c r="S13" s="999"/>
      <c r="T13" s="999"/>
      <c r="U13" s="999"/>
    </row>
    <row r="14" spans="2:21" s="1002" customFormat="1" ht="14.25">
      <c r="B14" s="600"/>
      <c r="C14" s="121" t="s">
        <v>499</v>
      </c>
      <c r="D14" s="585"/>
      <c r="E14" s="222" t="s">
        <v>341</v>
      </c>
      <c r="F14" s="500">
        <f>6326412+8600+591532-41</f>
        <v>6926503</v>
      </c>
      <c r="G14" s="500">
        <f>2821431-8600-591532+41</f>
        <v>2221340</v>
      </c>
      <c r="H14" s="500">
        <f>6221288-1735102</f>
        <v>4486186</v>
      </c>
      <c r="I14" s="500">
        <v>1735102</v>
      </c>
      <c r="J14" s="500">
        <v>11898558</v>
      </c>
      <c r="K14" s="500">
        <v>1183841</v>
      </c>
      <c r="L14" s="603"/>
      <c r="M14" s="500">
        <v>629296</v>
      </c>
      <c r="N14" s="603"/>
      <c r="O14" s="603"/>
      <c r="P14" s="502">
        <f>'[1]Riepilogo'!K16</f>
        <v>15</v>
      </c>
      <c r="Q14" s="1001"/>
      <c r="R14" s="1001"/>
      <c r="S14" s="1001"/>
      <c r="T14" s="1001"/>
      <c r="U14" s="1001"/>
    </row>
    <row r="15" spans="2:21" ht="6" customHeight="1">
      <c r="B15" s="118"/>
      <c r="C15" s="121"/>
      <c r="D15" s="119"/>
      <c r="E15" s="49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1"/>
      <c r="Q15" s="999"/>
      <c r="R15" s="999"/>
      <c r="S15" s="999"/>
      <c r="T15" s="999"/>
      <c r="U15" s="999"/>
    </row>
    <row r="16" spans="2:21" s="1002" customFormat="1" ht="14.25">
      <c r="B16" s="600"/>
      <c r="C16" s="201" t="str">
        <f>'[1]Riepilogo'!D18</f>
        <v>Interplanet S.r.l.</v>
      </c>
      <c r="D16" s="585"/>
      <c r="E16" s="222" t="s">
        <v>341</v>
      </c>
      <c r="F16" s="500">
        <f>988234-143644</f>
        <v>844590</v>
      </c>
      <c r="G16" s="500">
        <f>2662160+143644</f>
        <v>2805804</v>
      </c>
      <c r="H16" s="500">
        <v>1525987</v>
      </c>
      <c r="I16" s="500">
        <v>711695</v>
      </c>
      <c r="J16" s="500">
        <v>2557291</v>
      </c>
      <c r="K16" s="602">
        <v>48461</v>
      </c>
      <c r="L16" s="605"/>
      <c r="M16" s="602">
        <v>-14615</v>
      </c>
      <c r="N16" s="603"/>
      <c r="O16" s="603"/>
      <c r="P16" s="501">
        <f>'[1]Riepilogo'!K18</f>
        <v>15</v>
      </c>
      <c r="Q16" s="1003"/>
      <c r="R16" s="1001"/>
      <c r="S16" s="1001"/>
      <c r="T16" s="1001"/>
      <c r="U16" s="1001"/>
    </row>
    <row r="17" spans="2:21" ht="6" customHeight="1">
      <c r="B17" s="118"/>
      <c r="C17" s="121"/>
      <c r="D17" s="119"/>
      <c r="E17" s="49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1"/>
      <c r="Q17" s="999"/>
      <c r="R17" s="999"/>
      <c r="S17" s="999"/>
      <c r="T17" s="999"/>
      <c r="U17" s="999"/>
    </row>
    <row r="18" spans="2:21" s="1002" customFormat="1" ht="14.25">
      <c r="B18" s="600"/>
      <c r="C18" s="201" t="str">
        <f>'[1]Riepilogo'!D20</f>
        <v>Neurimpulse S.r.l.</v>
      </c>
      <c r="D18" s="585"/>
      <c r="E18" s="222" t="s">
        <v>341</v>
      </c>
      <c r="F18" s="500">
        <f>546921-24080</f>
        <v>522841</v>
      </c>
      <c r="G18" s="500">
        <f>1795049+24080</f>
        <v>1819129</v>
      </c>
      <c r="H18" s="500">
        <f>646855-209960</f>
        <v>436895</v>
      </c>
      <c r="I18" s="500">
        <v>209960</v>
      </c>
      <c r="J18" s="500">
        <v>419988</v>
      </c>
      <c r="K18" s="602">
        <v>-67851</v>
      </c>
      <c r="L18" s="603"/>
      <c r="M18" s="602">
        <v>-68853</v>
      </c>
      <c r="N18" s="603"/>
      <c r="O18" s="603"/>
      <c r="P18" s="604">
        <f>'[1]Riepilogo'!K20</f>
        <v>15</v>
      </c>
      <c r="Q18" s="1003"/>
      <c r="R18" s="1001"/>
      <c r="S18" s="1001"/>
      <c r="T18" s="1001"/>
      <c r="U18" s="1001"/>
    </row>
    <row r="19" spans="2:21" s="1002" customFormat="1" ht="6" customHeight="1">
      <c r="B19" s="118"/>
      <c r="C19" s="121"/>
      <c r="D19" s="119"/>
      <c r="E19" s="49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1"/>
      <c r="Q19" s="1001"/>
      <c r="R19" s="1001"/>
      <c r="S19" s="1001"/>
      <c r="T19" s="1001"/>
      <c r="U19" s="1001"/>
    </row>
    <row r="20" spans="2:21" s="1002" customFormat="1" ht="14.25">
      <c r="B20" s="118"/>
      <c r="C20" s="201" t="s">
        <v>503</v>
      </c>
      <c r="D20" s="119"/>
      <c r="E20" s="222" t="s">
        <v>341</v>
      </c>
      <c r="F20" s="503">
        <f>2400989-5684</f>
        <v>2395305</v>
      </c>
      <c r="G20" s="503">
        <f>291893+5684</f>
        <v>297577</v>
      </c>
      <c r="H20" s="503">
        <v>1613344</v>
      </c>
      <c r="I20" s="503">
        <v>20000</v>
      </c>
      <c r="J20" s="503">
        <v>1500898</v>
      </c>
      <c r="K20" s="503">
        <v>136965</v>
      </c>
      <c r="L20" s="503"/>
      <c r="M20" s="503">
        <v>72079</v>
      </c>
      <c r="N20" s="503"/>
      <c r="O20" s="503"/>
      <c r="P20" s="502">
        <f>'[1]Riepilogo'!K22</f>
        <v>15</v>
      </c>
      <c r="Q20" s="1003"/>
      <c r="R20" s="1001"/>
      <c r="S20" s="1001"/>
      <c r="T20" s="1001"/>
      <c r="U20" s="1001"/>
    </row>
    <row r="21" spans="2:21" s="1002" customFormat="1" ht="6" customHeight="1">
      <c r="B21" s="118"/>
      <c r="C21" s="201"/>
      <c r="D21" s="119"/>
      <c r="E21" s="49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1"/>
      <c r="Q21" s="1001"/>
      <c r="R21" s="1001"/>
      <c r="S21" s="1001"/>
      <c r="T21" s="1001"/>
      <c r="U21" s="1001"/>
    </row>
    <row r="22" spans="2:21" s="1006" customFormat="1" ht="14.25">
      <c r="B22" s="118"/>
      <c r="C22" s="201" t="str">
        <f>'[1]Riepilogo'!D24</f>
        <v>OTS S.r.l.</v>
      </c>
      <c r="D22" s="119"/>
      <c r="E22" s="222" t="s">
        <v>341</v>
      </c>
      <c r="F22" s="503">
        <f>4719213-643098</f>
        <v>4076115</v>
      </c>
      <c r="G22" s="503">
        <f>1868798</f>
        <v>1868798</v>
      </c>
      <c r="H22" s="503">
        <v>5071787</v>
      </c>
      <c r="I22" s="503">
        <v>100000</v>
      </c>
      <c r="J22" s="503">
        <v>577401</v>
      </c>
      <c r="K22" s="602">
        <v>-823624</v>
      </c>
      <c r="L22" s="503"/>
      <c r="M22" s="499">
        <v>-737156</v>
      </c>
      <c r="N22" s="503"/>
      <c r="O22" s="503"/>
      <c r="P22" s="853" t="s">
        <v>585</v>
      </c>
      <c r="Q22" s="1004"/>
      <c r="R22" s="1005"/>
      <c r="S22" s="1005"/>
      <c r="T22" s="1005"/>
      <c r="U22" s="1005"/>
    </row>
    <row r="23" spans="2:21" ht="6" customHeight="1">
      <c r="B23" s="118"/>
      <c r="C23" s="121"/>
      <c r="D23" s="119"/>
      <c r="E23" s="490"/>
      <c r="F23" s="500"/>
      <c r="G23" s="500"/>
      <c r="H23" s="500"/>
      <c r="I23" s="500"/>
      <c r="J23" s="500"/>
      <c r="K23" s="602"/>
      <c r="L23" s="500"/>
      <c r="M23" s="500"/>
      <c r="N23" s="500"/>
      <c r="O23" s="500"/>
      <c r="P23" s="501"/>
      <c r="Q23" s="999"/>
      <c r="R23" s="999"/>
      <c r="S23" s="999"/>
      <c r="T23" s="999"/>
      <c r="U23" s="999"/>
    </row>
    <row r="24" spans="2:21" s="1002" customFormat="1" ht="14.25">
      <c r="B24" s="118"/>
      <c r="C24" s="201" t="s">
        <v>505</v>
      </c>
      <c r="D24" s="119"/>
      <c r="E24" s="222" t="s">
        <v>341</v>
      </c>
      <c r="F24" s="503">
        <f>2588207-26408</f>
        <v>2561799</v>
      </c>
      <c r="G24" s="503">
        <f>3401699+26408</f>
        <v>3428107</v>
      </c>
      <c r="H24" s="503">
        <f>3936118-65908</f>
        <v>3870210</v>
      </c>
      <c r="I24" s="503">
        <v>65908</v>
      </c>
      <c r="J24" s="503">
        <v>3381090</v>
      </c>
      <c r="K24" s="602">
        <v>-2230771</v>
      </c>
      <c r="L24" s="503"/>
      <c r="M24" s="499">
        <v>-2212597</v>
      </c>
      <c r="N24" s="503"/>
      <c r="O24" s="503"/>
      <c r="P24" s="502">
        <f>'[1]Riepilogo'!K26</f>
        <v>15</v>
      </c>
      <c r="Q24" s="1003"/>
      <c r="R24" s="1001"/>
      <c r="S24" s="1001"/>
      <c r="T24" s="1001"/>
      <c r="U24" s="1001"/>
    </row>
    <row r="25" spans="2:21" ht="6" customHeight="1">
      <c r="B25" s="118"/>
      <c r="C25" s="121"/>
      <c r="D25" s="119"/>
      <c r="E25" s="490"/>
      <c r="F25" s="500"/>
      <c r="G25" s="500"/>
      <c r="H25" s="500"/>
      <c r="I25" s="500"/>
      <c r="J25" s="500"/>
      <c r="K25" s="602"/>
      <c r="L25" s="500"/>
      <c r="M25" s="500"/>
      <c r="N25" s="500"/>
      <c r="O25" s="500"/>
      <c r="P25" s="501"/>
      <c r="Q25" s="999"/>
      <c r="R25" s="999"/>
      <c r="S25" s="999"/>
      <c r="T25" s="999"/>
      <c r="U25" s="999"/>
    </row>
    <row r="26" spans="2:21" s="1002" customFormat="1" ht="14.25">
      <c r="B26" s="118"/>
      <c r="C26" s="201" t="s">
        <v>399</v>
      </c>
      <c r="D26" s="119"/>
      <c r="E26" s="222" t="s">
        <v>341</v>
      </c>
      <c r="F26" s="503">
        <v>653883</v>
      </c>
      <c r="G26" s="503">
        <v>1869020</v>
      </c>
      <c r="H26" s="503">
        <v>969622</v>
      </c>
      <c r="I26" s="503">
        <v>0</v>
      </c>
      <c r="J26" s="503">
        <v>2824931</v>
      </c>
      <c r="K26" s="499">
        <v>-265683</v>
      </c>
      <c r="L26" s="503"/>
      <c r="M26" s="499">
        <v>-420616</v>
      </c>
      <c r="N26" s="503"/>
      <c r="O26" s="503"/>
      <c r="P26" s="502">
        <f>'[1]Riepilogo'!K28</f>
        <v>15</v>
      </c>
      <c r="Q26" s="1003"/>
      <c r="R26" s="1001"/>
      <c r="S26" s="1003"/>
      <c r="T26" s="1001"/>
      <c r="U26" s="1001"/>
    </row>
    <row r="27" spans="2:21" ht="6" customHeight="1">
      <c r="B27" s="118"/>
      <c r="C27" s="121"/>
      <c r="D27" s="119"/>
      <c r="E27" s="49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1"/>
      <c r="Q27" s="999"/>
      <c r="R27" s="999"/>
      <c r="S27" s="999"/>
      <c r="T27" s="999"/>
      <c r="U27" s="999"/>
    </row>
    <row r="28" spans="2:21" s="1002" customFormat="1" ht="14.25">
      <c r="B28" s="600"/>
      <c r="C28" s="121" t="str">
        <f>'[1]Riepilogo'!D30</f>
        <v>Xeptagen S.p.A.</v>
      </c>
      <c r="D28" s="585"/>
      <c r="E28" s="222" t="s">
        <v>341</v>
      </c>
      <c r="F28" s="500">
        <v>554096</v>
      </c>
      <c r="G28" s="500">
        <v>841400</v>
      </c>
      <c r="H28" s="500">
        <f>250267-23423</f>
        <v>226844</v>
      </c>
      <c r="I28" s="500">
        <v>23423</v>
      </c>
      <c r="J28" s="500">
        <v>17205</v>
      </c>
      <c r="K28" s="602">
        <v>-489970</v>
      </c>
      <c r="L28" s="603"/>
      <c r="M28" s="602">
        <v>-493613</v>
      </c>
      <c r="N28" s="603"/>
      <c r="O28" s="603"/>
      <c r="P28" s="604">
        <f>'[1]Riepilogo'!K30</f>
        <v>15</v>
      </c>
      <c r="Q28" s="1003"/>
      <c r="R28" s="1001"/>
      <c r="S28" s="1003"/>
      <c r="T28" s="1001"/>
      <c r="U28" s="1001"/>
    </row>
    <row r="29" spans="2:21" ht="6" customHeight="1">
      <c r="B29" s="118"/>
      <c r="C29" s="121"/>
      <c r="D29" s="119"/>
      <c r="E29" s="49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1"/>
      <c r="Q29" s="999"/>
      <c r="R29" s="999"/>
      <c r="S29" s="999"/>
      <c r="T29" s="999"/>
      <c r="U29" s="999"/>
    </row>
    <row r="30" spans="2:21" s="1002" customFormat="1" ht="14.25">
      <c r="B30" s="600"/>
      <c r="C30" s="121" t="str">
        <f>'[1]Riepilogo'!D32</f>
        <v>Zen Fonderie S.r.l.</v>
      </c>
      <c r="D30" s="585"/>
      <c r="E30" s="222" t="s">
        <v>341</v>
      </c>
      <c r="F30" s="500">
        <f>13060288-17670</f>
        <v>13042618</v>
      </c>
      <c r="G30" s="500">
        <f>3076052+17670</f>
        <v>3093722</v>
      </c>
      <c r="H30" s="500">
        <f>13632650-372607</f>
        <v>13260043</v>
      </c>
      <c r="I30" s="500">
        <v>372607</v>
      </c>
      <c r="J30" s="500">
        <v>25121113</v>
      </c>
      <c r="K30" s="500">
        <v>332144</v>
      </c>
      <c r="L30" s="603"/>
      <c r="M30" s="500">
        <v>51357</v>
      </c>
      <c r="N30" s="603"/>
      <c r="O30" s="603"/>
      <c r="P30" s="501" t="str">
        <f>'[1]Riepilogo'!K32</f>
        <v>15</v>
      </c>
      <c r="Q30" s="1003"/>
      <c r="R30" s="1001"/>
      <c r="S30" s="1003"/>
      <c r="T30" s="1001"/>
      <c r="U30" s="1001"/>
    </row>
    <row r="31" spans="2:21" ht="4.5" customHeight="1">
      <c r="B31" s="118"/>
      <c r="C31" s="121"/>
      <c r="D31" s="119"/>
      <c r="E31" s="49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1"/>
      <c r="Q31" s="999"/>
      <c r="R31" s="999"/>
      <c r="S31" s="999"/>
      <c r="T31" s="999"/>
      <c r="U31" s="999"/>
    </row>
    <row r="32" spans="2:21" ht="17.25" customHeight="1">
      <c r="B32" s="118"/>
      <c r="C32" s="2058" t="s">
        <v>214</v>
      </c>
      <c r="D32" s="2057"/>
      <c r="E32" s="606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8"/>
      <c r="Q32" s="999"/>
      <c r="R32" s="999"/>
      <c r="S32" s="999"/>
      <c r="T32" s="999"/>
      <c r="U32" s="999"/>
    </row>
    <row r="33" spans="2:21" ht="6" customHeight="1">
      <c r="B33" s="118"/>
      <c r="C33" s="121"/>
      <c r="D33" s="119"/>
      <c r="E33" s="49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1"/>
      <c r="Q33" s="999"/>
      <c r="R33" s="999"/>
      <c r="S33" s="999"/>
      <c r="T33" s="999"/>
      <c r="U33" s="999"/>
    </row>
    <row r="34" spans="2:21" ht="14.25">
      <c r="B34" s="118"/>
      <c r="C34" s="599" t="s">
        <v>29</v>
      </c>
      <c r="D34" s="119"/>
      <c r="E34" s="49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1"/>
      <c r="Q34" s="999"/>
      <c r="R34" s="999"/>
      <c r="S34" s="999"/>
      <c r="T34" s="999"/>
      <c r="U34" s="999"/>
    </row>
    <row r="35" spans="2:21" ht="6" customHeight="1">
      <c r="B35" s="118"/>
      <c r="C35" s="121"/>
      <c r="D35" s="119"/>
      <c r="E35" s="49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1"/>
      <c r="Q35" s="999"/>
      <c r="R35" s="999"/>
      <c r="S35" s="999"/>
      <c r="T35" s="999"/>
      <c r="U35" s="999"/>
    </row>
    <row r="36" spans="2:21" s="1002" customFormat="1" ht="12.75" customHeight="1">
      <c r="B36" s="118"/>
      <c r="C36" s="121" t="str">
        <f>'[1]Riepilogo'!D66</f>
        <v>Enrive S.p.A.</v>
      </c>
      <c r="D36" s="119"/>
      <c r="E36" s="609" t="s">
        <v>342</v>
      </c>
      <c r="F36" s="500">
        <v>3310007</v>
      </c>
      <c r="G36" s="500">
        <v>6065464</v>
      </c>
      <c r="H36" s="500">
        <f>2453098-1400000</f>
        <v>1053098</v>
      </c>
      <c r="I36" s="500">
        <f>2500000+1400000</f>
        <v>3900000</v>
      </c>
      <c r="J36" s="500">
        <v>92165</v>
      </c>
      <c r="K36" s="499">
        <v>-131996</v>
      </c>
      <c r="L36" s="500"/>
      <c r="M36" s="500">
        <v>79193</v>
      </c>
      <c r="N36" s="500"/>
      <c r="O36" s="500"/>
      <c r="P36" s="501">
        <f>'[1]Riepilogo'!K66</f>
        <v>15</v>
      </c>
      <c r="Q36" s="1001"/>
      <c r="R36" s="1001"/>
      <c r="S36" s="1001"/>
      <c r="T36" s="1001"/>
      <c r="U36" s="1001"/>
    </row>
    <row r="37" spans="2:21" ht="6" customHeight="1">
      <c r="B37" s="118"/>
      <c r="C37" s="121"/>
      <c r="D37" s="119"/>
      <c r="E37" s="609"/>
      <c r="F37" s="500"/>
      <c r="G37" s="500"/>
      <c r="H37" s="500"/>
      <c r="I37" s="500"/>
      <c r="J37" s="500"/>
      <c r="K37" s="499"/>
      <c r="L37" s="500"/>
      <c r="M37" s="500"/>
      <c r="N37" s="500"/>
      <c r="O37" s="500"/>
      <c r="P37" s="501"/>
      <c r="Q37" s="999"/>
      <c r="R37" s="999"/>
      <c r="S37" s="999"/>
      <c r="T37" s="999"/>
      <c r="U37" s="999"/>
    </row>
    <row r="38" spans="2:21" s="1002" customFormat="1" ht="12.75" customHeight="1">
      <c r="B38" s="118"/>
      <c r="C38" s="201" t="s">
        <v>513</v>
      </c>
      <c r="D38" s="585"/>
      <c r="E38" s="609" t="s">
        <v>342</v>
      </c>
      <c r="F38" s="500">
        <f>2635173+124726+71709</f>
        <v>2831608</v>
      </c>
      <c r="G38" s="500">
        <f>23297+27821</f>
        <v>51118</v>
      </c>
      <c r="H38" s="500">
        <v>202929</v>
      </c>
      <c r="I38" s="500">
        <v>0</v>
      </c>
      <c r="J38" s="503">
        <v>1086128</v>
      </c>
      <c r="K38" s="503">
        <v>1141</v>
      </c>
      <c r="L38" s="610"/>
      <c r="M38" s="602">
        <v>7673</v>
      </c>
      <c r="N38" s="500"/>
      <c r="O38" s="500"/>
      <c r="P38" s="611">
        <f>'[1]Riepilogo'!K68</f>
        <v>16</v>
      </c>
      <c r="Q38" s="1001"/>
      <c r="R38" s="1001"/>
      <c r="S38" s="1001"/>
      <c r="T38" s="1001"/>
      <c r="U38" s="1001"/>
    </row>
    <row r="39" spans="2:21" s="1002" customFormat="1" ht="6" customHeight="1">
      <c r="B39" s="600"/>
      <c r="C39" s="121"/>
      <c r="D39" s="119"/>
      <c r="E39" s="609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1"/>
      <c r="Q39" s="1001"/>
      <c r="R39" s="1001"/>
      <c r="S39" s="1001"/>
      <c r="T39" s="1001"/>
      <c r="U39" s="1001"/>
    </row>
    <row r="40" spans="2:21" s="1002" customFormat="1" ht="12.75" customHeight="1">
      <c r="B40" s="118"/>
      <c r="C40" s="161" t="str">
        <f>'[1]Riepilogo'!D64</f>
        <v>APVS S.r.l.</v>
      </c>
      <c r="D40" s="6"/>
      <c r="E40" s="609" t="s">
        <v>342</v>
      </c>
      <c r="F40" s="500">
        <v>1760053</v>
      </c>
      <c r="G40" s="500">
        <f>25936000+1399</f>
        <v>25937399</v>
      </c>
      <c r="H40" s="500">
        <v>17759</v>
      </c>
      <c r="I40" s="500">
        <v>0</v>
      </c>
      <c r="J40" s="500">
        <v>0</v>
      </c>
      <c r="K40" s="499">
        <v>-31038</v>
      </c>
      <c r="L40" s="500"/>
      <c r="M40" s="500">
        <v>1636675</v>
      </c>
      <c r="N40" s="500"/>
      <c r="O40" s="500">
        <v>1579895</v>
      </c>
      <c r="P40" s="854" t="str">
        <f>'[1]Riepilogo'!K64</f>
        <v>10/16</v>
      </c>
      <c r="Q40" s="1001"/>
      <c r="R40" s="1001"/>
      <c r="S40" s="1001"/>
      <c r="T40" s="1001"/>
      <c r="U40" s="1001"/>
    </row>
    <row r="41" spans="2:16" ht="7.5" customHeight="1">
      <c r="B41" s="175"/>
      <c r="C41" s="176"/>
      <c r="D41" s="177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3"/>
    </row>
    <row r="42" spans="2:16" ht="7.5" customHeight="1">
      <c r="B42" s="132"/>
      <c r="C42" s="121"/>
      <c r="D42" s="12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1007"/>
    </row>
    <row r="43" spans="2:16" ht="15">
      <c r="B43" s="1008" t="s">
        <v>375</v>
      </c>
      <c r="D43" s="1008"/>
      <c r="E43" s="1008"/>
      <c r="F43" s="1008"/>
      <c r="G43" s="1008"/>
      <c r="H43" s="1008"/>
      <c r="I43" s="1008"/>
      <c r="J43" s="1008"/>
      <c r="K43" s="1008"/>
      <c r="L43" s="1008"/>
      <c r="M43" s="1008"/>
      <c r="N43" s="1008"/>
      <c r="O43" s="1008"/>
      <c r="P43" s="1008"/>
    </row>
    <row r="44" spans="16:17" ht="11.25">
      <c r="P44" s="1009"/>
      <c r="Q44" s="1010"/>
    </row>
    <row r="45" ht="11.25">
      <c r="C45" s="1011"/>
    </row>
    <row r="46" ht="11.25"/>
    <row r="47" ht="11.25"/>
    <row r="48" spans="2:13" ht="11.25">
      <c r="B48" s="1012" t="s">
        <v>359</v>
      </c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3"/>
    </row>
    <row r="49" spans="2:16" s="998" customFormat="1" ht="60.75" customHeight="1">
      <c r="B49" s="2060" t="s">
        <v>374</v>
      </c>
      <c r="C49" s="2060"/>
      <c r="D49" s="2060"/>
      <c r="E49" s="227" t="s">
        <v>340</v>
      </c>
      <c r="F49" s="227" t="s">
        <v>345</v>
      </c>
      <c r="G49" s="227" t="s">
        <v>346</v>
      </c>
      <c r="H49" s="227" t="s">
        <v>347</v>
      </c>
      <c r="I49" s="227" t="s">
        <v>348</v>
      </c>
      <c r="J49" s="227" t="s">
        <v>365</v>
      </c>
      <c r="K49" s="227" t="s">
        <v>364</v>
      </c>
      <c r="L49" s="227" t="s">
        <v>349</v>
      </c>
      <c r="M49" s="227" t="s">
        <v>344</v>
      </c>
      <c r="N49" s="1014"/>
      <c r="O49" s="999"/>
      <c r="P49" s="996"/>
    </row>
    <row r="50" spans="2:21" ht="6" customHeight="1">
      <c r="B50" s="118"/>
      <c r="C50" s="121"/>
      <c r="D50" s="119"/>
      <c r="E50" s="609"/>
      <c r="F50" s="500"/>
      <c r="G50" s="500"/>
      <c r="H50" s="500"/>
      <c r="I50" s="500"/>
      <c r="J50" s="500"/>
      <c r="K50" s="499"/>
      <c r="L50" s="500"/>
      <c r="M50" s="500"/>
      <c r="N50" s="1089"/>
      <c r="O50" s="999"/>
      <c r="Q50" s="999"/>
      <c r="R50" s="999"/>
      <c r="S50" s="999"/>
      <c r="T50" s="999"/>
      <c r="U50" s="999"/>
    </row>
    <row r="51" spans="2:15" ht="14.25">
      <c r="B51" s="50"/>
      <c r="C51" s="2044" t="s">
        <v>214</v>
      </c>
      <c r="D51" s="2045"/>
      <c r="E51" s="432"/>
      <c r="F51" s="432"/>
      <c r="G51" s="432"/>
      <c r="H51" s="432"/>
      <c r="I51" s="432"/>
      <c r="J51" s="432"/>
      <c r="K51" s="432"/>
      <c r="L51" s="432"/>
      <c r="M51" s="44"/>
      <c r="N51" s="999"/>
      <c r="O51" s="999"/>
    </row>
    <row r="52" spans="2:14" ht="6" customHeight="1">
      <c r="B52" s="50"/>
      <c r="C52" s="7"/>
      <c r="D52" s="6"/>
      <c r="E52" s="223"/>
      <c r="F52" s="211"/>
      <c r="G52" s="82"/>
      <c r="H52" s="210"/>
      <c r="I52" s="209"/>
      <c r="J52" s="209"/>
      <c r="K52" s="209"/>
      <c r="L52" s="497"/>
      <c r="M52" s="44"/>
      <c r="N52" s="999"/>
    </row>
    <row r="53" spans="2:14" ht="14.25">
      <c r="B53" s="50"/>
      <c r="C53" s="59" t="s">
        <v>29</v>
      </c>
      <c r="D53" s="6"/>
      <c r="E53" s="6"/>
      <c r="F53" s="6"/>
      <c r="G53" s="6"/>
      <c r="H53" s="6"/>
      <c r="I53" s="6"/>
      <c r="J53" s="6"/>
      <c r="K53" s="6"/>
      <c r="L53" s="119"/>
      <c r="M53" s="44"/>
      <c r="N53" s="999"/>
    </row>
    <row r="54" spans="2:14" ht="6" customHeight="1">
      <c r="B54" s="50"/>
      <c r="C54" s="7"/>
      <c r="D54" s="6"/>
      <c r="E54" s="223"/>
      <c r="F54" s="211"/>
      <c r="G54" s="82"/>
      <c r="H54" s="210"/>
      <c r="I54" s="209"/>
      <c r="J54" s="209"/>
      <c r="K54" s="209"/>
      <c r="L54" s="497"/>
      <c r="M54" s="44"/>
      <c r="N54" s="999"/>
    </row>
    <row r="55" spans="2:14" ht="6" customHeight="1">
      <c r="B55" s="50"/>
      <c r="C55" s="7"/>
      <c r="D55" s="6"/>
      <c r="E55" s="223"/>
      <c r="F55" s="211"/>
      <c r="G55" s="6"/>
      <c r="H55" s="209"/>
      <c r="I55" s="209"/>
      <c r="J55" s="209"/>
      <c r="K55" s="209"/>
      <c r="L55" s="497"/>
      <c r="M55" s="6"/>
      <c r="N55" s="999"/>
    </row>
    <row r="56" spans="2:13" ht="14.25">
      <c r="B56" s="600"/>
      <c r="C56" s="201" t="str">
        <f>'[1]Riepilogo'!D66</f>
        <v>Enrive S.p.A.</v>
      </c>
      <c r="D56" s="585"/>
      <c r="E56" s="609" t="s">
        <v>342</v>
      </c>
      <c r="F56" s="602">
        <f>199051+2390000+50000</f>
        <v>2639051</v>
      </c>
      <c r="G56" s="602">
        <f>750000+75000</f>
        <v>825000</v>
      </c>
      <c r="H56" s="602">
        <f>+I36</f>
        <v>3900000</v>
      </c>
      <c r="I56" s="602">
        <v>-340</v>
      </c>
      <c r="J56" s="602">
        <v>-38307</v>
      </c>
      <c r="K56" s="602">
        <v>133006</v>
      </c>
      <c r="L56" s="602">
        <v>-52489</v>
      </c>
      <c r="M56" s="615" t="s">
        <v>400</v>
      </c>
    </row>
    <row r="57" spans="2:13" ht="14.25">
      <c r="B57" s="600"/>
      <c r="C57" s="201"/>
      <c r="D57" s="585"/>
      <c r="E57" s="609"/>
      <c r="F57" s="614"/>
      <c r="G57" s="614"/>
      <c r="H57" s="614"/>
      <c r="I57" s="602"/>
      <c r="J57" s="602"/>
      <c r="K57" s="602"/>
      <c r="L57" s="602"/>
      <c r="M57" s="615"/>
    </row>
    <row r="58" spans="2:13" ht="14.25">
      <c r="B58" s="600"/>
      <c r="C58" s="201" t="s">
        <v>513</v>
      </c>
      <c r="D58" s="585"/>
      <c r="E58" s="609" t="s">
        <v>342</v>
      </c>
      <c r="F58" s="602">
        <f>2357658</f>
        <v>2357658</v>
      </c>
      <c r="G58" s="614">
        <v>0</v>
      </c>
      <c r="H58" s="614">
        <v>0</v>
      </c>
      <c r="I58" s="602">
        <f>-3433-7452</f>
        <v>-10885</v>
      </c>
      <c r="J58" s="602">
        <v>0</v>
      </c>
      <c r="K58" s="602">
        <v>17113</v>
      </c>
      <c r="L58" s="602">
        <v>-6532</v>
      </c>
      <c r="M58" s="615" t="s">
        <v>586</v>
      </c>
    </row>
    <row r="59" spans="2:13" ht="14.25">
      <c r="B59" s="600"/>
      <c r="C59" s="201"/>
      <c r="D59" s="585"/>
      <c r="E59" s="609"/>
      <c r="F59" s="614"/>
      <c r="G59" s="614"/>
      <c r="H59" s="614"/>
      <c r="I59" s="602"/>
      <c r="J59" s="602"/>
      <c r="K59" s="602"/>
      <c r="L59" s="602"/>
      <c r="M59" s="615"/>
    </row>
    <row r="60" spans="2:13" ht="14.25">
      <c r="B60" s="600"/>
      <c r="C60" s="161" t="s">
        <v>511</v>
      </c>
      <c r="D60" s="585"/>
      <c r="E60" s="609" t="s">
        <v>342</v>
      </c>
      <c r="F60" s="602">
        <v>1759910</v>
      </c>
      <c r="G60" s="614">
        <v>0</v>
      </c>
      <c r="H60" s="614">
        <v>0</v>
      </c>
      <c r="I60" s="602">
        <v>-1399</v>
      </c>
      <c r="J60" s="602">
        <v>0</v>
      </c>
      <c r="K60" s="602">
        <v>244</v>
      </c>
      <c r="L60" s="602">
        <v>10240</v>
      </c>
      <c r="M60" s="615" t="s">
        <v>565</v>
      </c>
    </row>
    <row r="61" spans="2:13" ht="14.25">
      <c r="B61" s="600"/>
      <c r="C61" s="201"/>
      <c r="D61" s="585"/>
      <c r="E61" s="609"/>
      <c r="F61" s="614"/>
      <c r="G61" s="614"/>
      <c r="H61" s="614"/>
      <c r="I61" s="602"/>
      <c r="J61" s="602"/>
      <c r="K61" s="602"/>
      <c r="L61" s="602"/>
      <c r="M61" s="615"/>
    </row>
    <row r="62" spans="2:14" ht="6" customHeight="1">
      <c r="B62" s="63"/>
      <c r="C62" s="26"/>
      <c r="D62" s="27"/>
      <c r="E62" s="208"/>
      <c r="F62" s="27"/>
      <c r="G62" s="27"/>
      <c r="H62" s="27"/>
      <c r="I62" s="27"/>
      <c r="J62" s="27"/>
      <c r="K62" s="27"/>
      <c r="L62" s="27"/>
      <c r="M62" s="41"/>
      <c r="N62" s="999"/>
    </row>
    <row r="63" spans="2:13" ht="14.25">
      <c r="B63" s="65"/>
      <c r="C63" s="39"/>
      <c r="D63" s="39"/>
      <c r="E63" s="39"/>
      <c r="F63" s="39"/>
      <c r="G63" s="39"/>
      <c r="H63" s="39"/>
      <c r="I63" s="82"/>
      <c r="J63" s="39"/>
      <c r="K63" s="39"/>
      <c r="L63" s="39"/>
      <c r="M63" s="39"/>
    </row>
    <row r="64" spans="2:14" ht="86.25" customHeight="1">
      <c r="B64" s="1991" t="s">
        <v>602</v>
      </c>
      <c r="C64" s="1991"/>
      <c r="D64" s="1991"/>
      <c r="E64" s="1991"/>
      <c r="F64" s="1991"/>
      <c r="G64" s="1991"/>
      <c r="H64" s="1991"/>
      <c r="I64" s="1991"/>
      <c r="J64" s="1991"/>
      <c r="K64" s="1991"/>
      <c r="L64" s="1991"/>
      <c r="M64" s="1991"/>
      <c r="N64" s="1015"/>
    </row>
    <row r="65" ht="11.25"/>
    <row r="66" ht="11.25"/>
    <row r="67" spans="2:15" ht="11.25">
      <c r="B67" s="1012" t="s">
        <v>361</v>
      </c>
      <c r="C67" s="1012"/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</row>
    <row r="68" spans="2:15" ht="30.75" customHeight="1">
      <c r="B68" s="2061" t="s">
        <v>376</v>
      </c>
      <c r="C68" s="2061"/>
      <c r="D68" s="2061"/>
      <c r="E68" s="2061"/>
      <c r="F68" s="2061"/>
      <c r="G68" s="2061"/>
      <c r="H68" s="2061"/>
      <c r="I68" s="2061"/>
      <c r="J68" s="2061"/>
      <c r="K68" s="2061"/>
      <c r="L68" s="2061"/>
      <c r="M68" s="2061"/>
      <c r="N68" s="2061"/>
      <c r="O68" s="2061"/>
    </row>
    <row r="69" ht="11.25"/>
    <row r="70" spans="2:15" ht="11.25">
      <c r="B70" s="1012" t="s">
        <v>360</v>
      </c>
      <c r="C70" s="1012"/>
      <c r="D70" s="1012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1012"/>
    </row>
    <row r="71" spans="2:15" ht="39" customHeight="1">
      <c r="B71" s="2061" t="s">
        <v>362</v>
      </c>
      <c r="C71" s="2061"/>
      <c r="D71" s="2061"/>
      <c r="E71" s="2061"/>
      <c r="F71" s="2061"/>
      <c r="G71" s="2061"/>
      <c r="H71" s="2061"/>
      <c r="I71" s="2061"/>
      <c r="J71" s="2061"/>
      <c r="K71" s="2061"/>
      <c r="L71" s="2061"/>
      <c r="M71" s="2061"/>
      <c r="N71" s="2061"/>
      <c r="O71" s="2061"/>
    </row>
    <row r="72" spans="2:15" ht="11.25">
      <c r="B72" s="1016"/>
      <c r="C72" s="1016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</row>
    <row r="73" spans="3:7" ht="28.5" customHeight="1">
      <c r="C73" s="2053" t="s">
        <v>356</v>
      </c>
      <c r="D73" s="2054"/>
      <c r="E73" s="2054"/>
      <c r="F73" s="2055"/>
      <c r="G73" s="1017" t="s">
        <v>114</v>
      </c>
    </row>
    <row r="74" spans="3:7" ht="11.25">
      <c r="C74" s="1018" t="s">
        <v>595</v>
      </c>
      <c r="D74" s="1019"/>
      <c r="E74" s="1019"/>
      <c r="F74" s="1020"/>
      <c r="G74" s="1021">
        <v>1116965.79</v>
      </c>
    </row>
    <row r="75" spans="3:7" ht="11.25">
      <c r="C75" s="1022" t="s">
        <v>355</v>
      </c>
      <c r="D75" s="999"/>
      <c r="E75" s="999"/>
      <c r="F75" s="1023"/>
      <c r="G75" s="1024">
        <v>0.51</v>
      </c>
    </row>
    <row r="76" spans="3:7" ht="11.25">
      <c r="C76" s="1025" t="s">
        <v>587</v>
      </c>
      <c r="D76" s="999"/>
      <c r="E76" s="999"/>
      <c r="F76" s="1023"/>
      <c r="G76" s="1026">
        <v>2606801</v>
      </c>
    </row>
    <row r="77" spans="3:8" ht="11.25">
      <c r="C77" s="1025" t="s">
        <v>596</v>
      </c>
      <c r="D77" s="999"/>
      <c r="E77" s="999"/>
      <c r="F77" s="1023"/>
      <c r="G77" s="1026">
        <v>2453011</v>
      </c>
      <c r="H77" s="1027"/>
    </row>
    <row r="78" spans="3:7" ht="11.25">
      <c r="C78" s="1025" t="s">
        <v>597</v>
      </c>
      <c r="D78" s="999"/>
      <c r="E78" s="999"/>
      <c r="F78" s="1023"/>
      <c r="G78" s="1026">
        <v>1251035.61</v>
      </c>
    </row>
    <row r="79" spans="3:7" ht="11.25">
      <c r="C79" s="1028" t="s">
        <v>598</v>
      </c>
      <c r="D79" s="1029"/>
      <c r="E79" s="1029"/>
      <c r="F79" s="1030"/>
      <c r="G79" s="1031">
        <v>134069.82000000007</v>
      </c>
    </row>
    <row r="80" spans="3:7" ht="11.25">
      <c r="C80" s="999"/>
      <c r="D80" s="999"/>
      <c r="E80" s="999"/>
      <c r="F80" s="999"/>
      <c r="G80" s="1032"/>
    </row>
    <row r="81" ht="11.25">
      <c r="G81" s="999"/>
    </row>
    <row r="82" ht="11.25" hidden="1">
      <c r="C82" s="996" t="s">
        <v>330</v>
      </c>
    </row>
    <row r="83" spans="3:7" ht="11.25" hidden="1">
      <c r="C83" s="996" t="s">
        <v>323</v>
      </c>
      <c r="E83" s="1033"/>
      <c r="F83" s="1033">
        <v>136117</v>
      </c>
      <c r="G83" s="1033"/>
    </row>
    <row r="84" spans="3:7" ht="11.25" hidden="1">
      <c r="C84" s="996" t="s">
        <v>324</v>
      </c>
      <c r="E84" s="1033"/>
      <c r="F84" s="1033">
        <v>121360</v>
      </c>
      <c r="G84" s="1033"/>
    </row>
    <row r="85" spans="3:7" ht="11.25" hidden="1">
      <c r="C85" s="996" t="s">
        <v>325</v>
      </c>
      <c r="E85" s="1033"/>
      <c r="F85" s="1033">
        <f>+F84-F83</f>
        <v>-14757</v>
      </c>
      <c r="G85" s="1033">
        <f>+F85</f>
        <v>-14757</v>
      </c>
    </row>
    <row r="86" spans="3:7" ht="11.25" hidden="1">
      <c r="C86" s="996" t="s">
        <v>326</v>
      </c>
      <c r="E86" s="1033"/>
      <c r="F86" s="1033">
        <v>-157998.78</v>
      </c>
      <c r="G86" s="1033"/>
    </row>
    <row r="87" spans="3:7" ht="11.25" hidden="1">
      <c r="C87" s="996" t="s">
        <v>327</v>
      </c>
      <c r="E87" s="1034">
        <v>0.51</v>
      </c>
      <c r="F87" s="1033">
        <f>+F86*E87</f>
        <v>-80579.3778</v>
      </c>
      <c r="G87" s="1033">
        <f>+F87</f>
        <v>-80579.3778</v>
      </c>
    </row>
    <row r="88" spans="3:7" ht="11.25" hidden="1">
      <c r="C88" s="996" t="s">
        <v>328</v>
      </c>
      <c r="E88" s="1033"/>
      <c r="F88" s="1033">
        <v>261.65</v>
      </c>
      <c r="G88" s="1033">
        <f>+F88</f>
        <v>261.65</v>
      </c>
    </row>
    <row r="89" spans="5:7" ht="11.25" hidden="1">
      <c r="E89" s="1033"/>
      <c r="F89" s="1033"/>
      <c r="G89" s="1033">
        <f>+G85+G87+G88</f>
        <v>-95074.72780000001</v>
      </c>
    </row>
    <row r="90" spans="3:7" ht="11.25" hidden="1">
      <c r="C90" s="996" t="s">
        <v>329</v>
      </c>
      <c r="E90" s="1033"/>
      <c r="F90" s="1033"/>
      <c r="G90" s="1033">
        <v>-80902.23</v>
      </c>
    </row>
    <row r="91" spans="3:7" ht="11.25" hidden="1">
      <c r="C91" s="996" t="s">
        <v>366</v>
      </c>
      <c r="E91" s="1033"/>
      <c r="F91" s="1033"/>
      <c r="G91" s="1033">
        <v>0</v>
      </c>
    </row>
    <row r="92" spans="3:7" ht="11.25" hidden="1">
      <c r="C92" s="1035" t="s">
        <v>354</v>
      </c>
      <c r="E92" s="1033"/>
      <c r="F92" s="1033"/>
      <c r="G92" s="1036">
        <f>+G89+G90+G91</f>
        <v>-175976.9578</v>
      </c>
    </row>
    <row r="93" spans="3:8" ht="11.25" hidden="1">
      <c r="C93" s="996" t="s">
        <v>211</v>
      </c>
      <c r="G93" s="1037">
        <f>+G79-G92</f>
        <v>310046.77780000004</v>
      </c>
      <c r="H93" s="996" t="s">
        <v>378</v>
      </c>
    </row>
    <row r="94" ht="11.25" hidden="1"/>
    <row r="95" spans="3:4" ht="11.25" hidden="1">
      <c r="C95" s="1038" t="s">
        <v>377</v>
      </c>
      <c r="D95" s="1039"/>
    </row>
    <row r="96" spans="3:4" ht="11.25" hidden="1">
      <c r="C96" s="1014"/>
      <c r="D96" s="1014"/>
    </row>
    <row r="97" spans="3:4" ht="56.25" hidden="1">
      <c r="C97" s="1040" t="s">
        <v>367</v>
      </c>
      <c r="D97" s="1040" t="s">
        <v>369</v>
      </c>
    </row>
    <row r="98" spans="3:4" ht="11.25" hidden="1">
      <c r="C98" s="1041" t="s">
        <v>635</v>
      </c>
      <c r="D98" s="1042">
        <f>(350000*(1)*(3/12))-14112.9</f>
        <v>73387.1</v>
      </c>
    </row>
    <row r="99" spans="3:9" ht="11.25" hidden="1">
      <c r="C99" s="1041" t="s">
        <v>371</v>
      </c>
      <c r="D99" s="1042">
        <f>-3750</f>
        <v>-3750</v>
      </c>
      <c r="I99" s="1043"/>
    </row>
    <row r="100" spans="3:4" ht="11.25" hidden="1">
      <c r="C100" s="1044" t="s">
        <v>370</v>
      </c>
      <c r="D100" s="1045">
        <f>+D98+D99</f>
        <v>69637.1</v>
      </c>
    </row>
    <row r="101" spans="3:4" ht="11.25" hidden="1">
      <c r="C101" s="1046" t="s">
        <v>368</v>
      </c>
      <c r="D101" s="1042">
        <f>-D100*30%</f>
        <v>-20891.13</v>
      </c>
    </row>
    <row r="102" spans="3:4" ht="11.25" hidden="1">
      <c r="C102" s="1044" t="s">
        <v>372</v>
      </c>
      <c r="D102" s="1045">
        <f>+(D100+D101)*51%</f>
        <v>24860.4447</v>
      </c>
    </row>
    <row r="103" ht="11.25">
      <c r="G103" s="1033"/>
    </row>
    <row r="104" ht="11.25"/>
    <row r="105" ht="11.25"/>
    <row r="106" ht="11.25"/>
    <row r="107" ht="11.25"/>
  </sheetData>
  <sheetProtection/>
  <mergeCells count="9">
    <mergeCell ref="C73:F73"/>
    <mergeCell ref="C4:D4"/>
    <mergeCell ref="C32:D32"/>
    <mergeCell ref="B2:D2"/>
    <mergeCell ref="B49:D49"/>
    <mergeCell ref="C51:D51"/>
    <mergeCell ref="B64:M64"/>
    <mergeCell ref="B68:O68"/>
    <mergeCell ref="B71:O71"/>
  </mergeCells>
  <printOptions/>
  <pageMargins left="0.7" right="0.7" top="0.75" bottom="0.75" header="0.3" footer="0.3"/>
  <pageSetup fitToHeight="1" fitToWidth="1" horizontalDpi="600" verticalDpi="600" orientation="landscape" paperSize="8" scale="61" r:id="rId3"/>
  <ignoredErrors>
    <ignoredError sqref="P22 M60" twoDigitTextYear="1"/>
    <ignoredError sqref="M56 M58" numberStoredAsText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CFFFF"/>
  </sheetPr>
  <dimension ref="B2:D10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9.140625" style="10" customWidth="1"/>
    <col min="2" max="2" width="45.140625" style="10" bestFit="1" customWidth="1"/>
    <col min="3" max="3" width="16.00390625" style="10" customWidth="1"/>
    <col min="4" max="4" width="16.140625" style="10" bestFit="1" customWidth="1"/>
    <col min="5" max="16384" width="9.140625" style="10" customWidth="1"/>
  </cols>
  <sheetData>
    <row r="2" spans="2:4" ht="14.25">
      <c r="B2" s="2062" t="s">
        <v>357</v>
      </c>
      <c r="C2" s="2062"/>
      <c r="D2" s="2062"/>
    </row>
    <row r="4" ht="12.75">
      <c r="B4" s="504" t="s">
        <v>358</v>
      </c>
    </row>
    <row r="7" spans="2:4" ht="57">
      <c r="B7" s="227" t="s">
        <v>352</v>
      </c>
      <c r="C7" s="227" t="s">
        <v>340</v>
      </c>
      <c r="D7" s="227" t="s">
        <v>583</v>
      </c>
    </row>
    <row r="8" spans="2:4" ht="12.75">
      <c r="B8" s="505" t="s">
        <v>511</v>
      </c>
      <c r="C8" s="1047" t="s">
        <v>342</v>
      </c>
      <c r="D8" s="849">
        <v>805746.45</v>
      </c>
    </row>
    <row r="10" ht="12.75">
      <c r="B10" s="390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M36"/>
  <sheetViews>
    <sheetView zoomScale="90" zoomScaleNormal="90" zoomScalePageLayoutView="0" workbookViewId="0" topLeftCell="A1">
      <selection activeCell="D44" sqref="D44"/>
    </sheetView>
  </sheetViews>
  <sheetFormatPr defaultColWidth="9.140625" defaultRowHeight="12.75"/>
  <cols>
    <col min="1" max="1" width="11.57421875" style="12" customWidth="1"/>
    <col min="2" max="2" width="5.140625" style="12" customWidth="1"/>
    <col min="3" max="3" width="9.421875" style="12" bestFit="1" customWidth="1"/>
    <col min="4" max="4" width="51.00390625" style="12" customWidth="1"/>
    <col min="5" max="6" width="17.421875" style="35" customWidth="1"/>
    <col min="7" max="7" width="11.140625" style="12" customWidth="1"/>
    <col min="8" max="8" width="9.140625" style="1048" customWidth="1"/>
    <col min="9" max="16384" width="9.140625" style="12" customWidth="1"/>
  </cols>
  <sheetData>
    <row r="1" ht="22.5" customHeight="1"/>
    <row r="2" spans="2:6" ht="37.5" customHeight="1">
      <c r="B2" s="1987" t="s">
        <v>34</v>
      </c>
      <c r="C2" s="1987"/>
      <c r="D2" s="1987"/>
      <c r="E2" s="143">
        <v>42735</v>
      </c>
      <c r="F2" s="143">
        <v>42369</v>
      </c>
    </row>
    <row r="3" spans="2:8" ht="6" customHeight="1">
      <c r="B3" s="1"/>
      <c r="C3" s="2"/>
      <c r="D3" s="3"/>
      <c r="E3" s="47"/>
      <c r="F3" s="47"/>
      <c r="H3" s="985"/>
    </row>
    <row r="4" spans="2:8" ht="15">
      <c r="B4" s="80" t="s">
        <v>15</v>
      </c>
      <c r="C4" s="20" t="s">
        <v>53</v>
      </c>
      <c r="D4" s="6"/>
      <c r="E4" s="16">
        <f>E6+E28+E30+E32</f>
        <v>1292002</v>
      </c>
      <c r="F4" s="16">
        <v>1000002</v>
      </c>
      <c r="H4" s="985"/>
    </row>
    <row r="5" spans="2:8" ht="6" customHeight="1">
      <c r="B5" s="50"/>
      <c r="C5" s="7"/>
      <c r="D5" s="6"/>
      <c r="E5" s="14"/>
      <c r="F5" s="14"/>
      <c r="H5" s="985"/>
    </row>
    <row r="6" spans="2:8" ht="14.25">
      <c r="B6" s="50"/>
      <c r="C6" s="7" t="s">
        <v>54</v>
      </c>
      <c r="D6" s="6"/>
      <c r="E6" s="49">
        <f>SUM(E7:E27)</f>
        <v>1292002</v>
      </c>
      <c r="F6" s="49">
        <v>1000002</v>
      </c>
      <c r="H6" s="985"/>
    </row>
    <row r="7" spans="2:13" ht="6" customHeight="1">
      <c r="B7" s="50"/>
      <c r="C7" s="7"/>
      <c r="D7" s="6"/>
      <c r="E7" s="14"/>
      <c r="F7" s="14"/>
      <c r="G7" s="1049"/>
      <c r="H7" s="985"/>
      <c r="I7" s="985"/>
      <c r="J7" s="985"/>
      <c r="K7" s="985"/>
      <c r="L7" s="985"/>
      <c r="M7" s="985"/>
    </row>
    <row r="8" spans="2:13" s="39" customFormat="1" ht="14.25" customHeight="1">
      <c r="B8" s="50"/>
      <c r="C8" s="224" t="s">
        <v>214</v>
      </c>
      <c r="D8" s="6"/>
      <c r="E8" s="14"/>
      <c r="F8" s="14"/>
      <c r="G8" s="1050"/>
      <c r="H8" s="1051"/>
      <c r="I8" s="1051"/>
      <c r="J8" s="1051"/>
      <c r="K8" s="1051"/>
      <c r="L8" s="1051"/>
      <c r="M8" s="7"/>
    </row>
    <row r="9" spans="2:13" ht="6" customHeight="1">
      <c r="B9" s="50"/>
      <c r="C9" s="7"/>
      <c r="D9" s="6"/>
      <c r="E9" s="14"/>
      <c r="F9" s="14"/>
      <c r="G9" s="488"/>
      <c r="H9" s="985"/>
      <c r="I9" s="985"/>
      <c r="J9" s="985"/>
      <c r="K9" s="985"/>
      <c r="L9" s="985"/>
      <c r="M9" s="985"/>
    </row>
    <row r="10" spans="2:13" ht="14.25">
      <c r="B10" s="50"/>
      <c r="C10" s="59" t="s">
        <v>213</v>
      </c>
      <c r="D10" s="6"/>
      <c r="E10" s="14"/>
      <c r="F10" s="14"/>
      <c r="G10" s="1052"/>
      <c r="H10" s="985"/>
      <c r="I10" s="985"/>
      <c r="J10" s="985"/>
      <c r="K10" s="985"/>
      <c r="L10" s="985"/>
      <c r="M10" s="985"/>
    </row>
    <row r="11" spans="2:13" ht="6" customHeight="1">
      <c r="B11" s="50"/>
      <c r="C11" s="7"/>
      <c r="D11" s="6"/>
      <c r="E11" s="14"/>
      <c r="F11" s="14"/>
      <c r="G11" s="1049"/>
      <c r="H11" s="985"/>
      <c r="I11" s="985"/>
      <c r="J11" s="985"/>
      <c r="K11" s="985"/>
      <c r="L11" s="985"/>
      <c r="M11" s="985"/>
    </row>
    <row r="12" spans="2:8" ht="14.25">
      <c r="B12" s="50"/>
      <c r="C12" s="7" t="s">
        <v>353</v>
      </c>
      <c r="D12" s="6"/>
      <c r="E12" s="54">
        <v>1</v>
      </c>
      <c r="F12" s="54">
        <v>1</v>
      </c>
      <c r="H12" s="985"/>
    </row>
    <row r="13" spans="2:8" ht="6.75" customHeight="1">
      <c r="B13" s="50"/>
      <c r="C13" s="7"/>
      <c r="D13" s="6"/>
      <c r="E13" s="54"/>
      <c r="F13" s="54"/>
      <c r="H13" s="985"/>
    </row>
    <row r="14" spans="2:13" s="39" customFormat="1" ht="30" customHeight="1">
      <c r="B14" s="50"/>
      <c r="C14" s="2063" t="s">
        <v>238</v>
      </c>
      <c r="D14" s="2064"/>
      <c r="E14" s="54"/>
      <c r="F14" s="54"/>
      <c r="G14" s="1050"/>
      <c r="H14" s="1051"/>
      <c r="I14" s="1051"/>
      <c r="J14" s="1051"/>
      <c r="K14" s="1051"/>
      <c r="L14" s="1051"/>
      <c r="M14" s="7"/>
    </row>
    <row r="15" spans="2:13" ht="6" customHeight="1">
      <c r="B15" s="50"/>
      <c r="C15" s="7"/>
      <c r="D15" s="6"/>
      <c r="E15" s="54"/>
      <c r="F15" s="54"/>
      <c r="G15" s="488"/>
      <c r="H15" s="985"/>
      <c r="I15" s="985"/>
      <c r="J15" s="985"/>
      <c r="K15" s="985"/>
      <c r="L15" s="985"/>
      <c r="M15" s="985"/>
    </row>
    <row r="16" spans="2:13" ht="14.25">
      <c r="B16" s="50"/>
      <c r="C16" s="59" t="s">
        <v>213</v>
      </c>
      <c r="D16" s="6"/>
      <c r="E16" s="54"/>
      <c r="F16" s="54"/>
      <c r="G16" s="1052"/>
      <c r="H16" s="985"/>
      <c r="I16" s="985"/>
      <c r="J16" s="985"/>
      <c r="K16" s="985"/>
      <c r="L16" s="985"/>
      <c r="M16" s="985"/>
    </row>
    <row r="17" spans="2:13" ht="6" customHeight="1">
      <c r="B17" s="50"/>
      <c r="C17" s="7"/>
      <c r="D17" s="6"/>
      <c r="E17" s="54"/>
      <c r="F17" s="54"/>
      <c r="G17" s="1049"/>
      <c r="H17" s="985"/>
      <c r="I17" s="985"/>
      <c r="J17" s="985"/>
      <c r="K17" s="985"/>
      <c r="L17" s="985"/>
      <c r="M17" s="985"/>
    </row>
    <row r="18" spans="2:8" ht="14.25">
      <c r="B18" s="118"/>
      <c r="C18" s="162" t="s">
        <v>636</v>
      </c>
      <c r="D18" s="119"/>
      <c r="E18" s="149">
        <v>1</v>
      </c>
      <c r="F18" s="149">
        <v>1</v>
      </c>
      <c r="H18" s="985"/>
    </row>
    <row r="19" spans="2:13" ht="6" customHeight="1">
      <c r="B19" s="50"/>
      <c r="C19" s="7"/>
      <c r="D19" s="6"/>
      <c r="E19" s="54"/>
      <c r="F19" s="54"/>
      <c r="G19" s="1049"/>
      <c r="H19" s="985"/>
      <c r="I19" s="985"/>
      <c r="J19" s="985"/>
      <c r="K19" s="985"/>
      <c r="L19" s="985"/>
      <c r="M19" s="985"/>
    </row>
    <row r="20" spans="2:8" ht="14.25">
      <c r="B20" s="118"/>
      <c r="C20" s="162" t="s">
        <v>637</v>
      </c>
      <c r="D20" s="119"/>
      <c r="E20" s="149">
        <v>292000</v>
      </c>
      <c r="F20" s="428">
        <v>0</v>
      </c>
      <c r="H20" s="985"/>
    </row>
    <row r="21" spans="2:8" ht="6.75" customHeight="1">
      <c r="B21" s="118"/>
      <c r="C21" s="162"/>
      <c r="D21" s="119"/>
      <c r="E21" s="423"/>
      <c r="F21" s="423"/>
      <c r="H21" s="985"/>
    </row>
    <row r="22" spans="2:8" ht="14.25">
      <c r="B22" s="50"/>
      <c r="C22" s="137" t="s">
        <v>228</v>
      </c>
      <c r="D22" s="6"/>
      <c r="E22" s="57"/>
      <c r="F22" s="57"/>
      <c r="H22" s="985"/>
    </row>
    <row r="23" spans="2:8" ht="6" customHeight="1">
      <c r="B23" s="50"/>
      <c r="C23" s="7"/>
      <c r="D23" s="6"/>
      <c r="E23" s="57"/>
      <c r="F23" s="57"/>
      <c r="H23" s="985"/>
    </row>
    <row r="24" spans="2:8" ht="14.25">
      <c r="B24" s="50"/>
      <c r="C24" s="59" t="s">
        <v>213</v>
      </c>
      <c r="D24" s="6"/>
      <c r="E24" s="57"/>
      <c r="F24" s="57"/>
      <c r="H24" s="985"/>
    </row>
    <row r="25" spans="2:8" ht="6" customHeight="1">
      <c r="B25" s="50"/>
      <c r="C25" s="59"/>
      <c r="D25" s="6"/>
      <c r="E25" s="57"/>
      <c r="F25" s="57"/>
      <c r="H25" s="985"/>
    </row>
    <row r="26" spans="2:8" ht="14.25">
      <c r="B26" s="50"/>
      <c r="C26" s="7" t="s">
        <v>350</v>
      </c>
      <c r="D26" s="6"/>
      <c r="E26" s="149">
        <v>1000000</v>
      </c>
      <c r="F26" s="149">
        <v>1000000</v>
      </c>
      <c r="H26" s="985"/>
    </row>
    <row r="27" spans="2:8" ht="6" customHeight="1">
      <c r="B27" s="50"/>
      <c r="C27" s="7"/>
      <c r="D27" s="6"/>
      <c r="E27" s="57"/>
      <c r="F27" s="57"/>
      <c r="H27" s="985"/>
    </row>
    <row r="28" spans="2:6" ht="21.75" customHeight="1">
      <c r="B28" s="50"/>
      <c r="C28" s="7" t="s">
        <v>55</v>
      </c>
      <c r="D28" s="6"/>
      <c r="E28" s="79">
        <v>0</v>
      </c>
      <c r="F28" s="79">
        <v>0</v>
      </c>
    </row>
    <row r="29" spans="2:8" ht="6.75" customHeight="1">
      <c r="B29" s="50"/>
      <c r="C29" s="7"/>
      <c r="D29" s="6"/>
      <c r="E29" s="54"/>
      <c r="F29" s="54"/>
      <c r="H29" s="985"/>
    </row>
    <row r="30" spans="2:6" ht="14.25">
      <c r="B30" s="50"/>
      <c r="C30" s="7" t="s">
        <v>56</v>
      </c>
      <c r="D30" s="6"/>
      <c r="E30" s="79">
        <v>0</v>
      </c>
      <c r="F30" s="79">
        <v>0</v>
      </c>
    </row>
    <row r="31" spans="2:8" ht="6.75" customHeight="1">
      <c r="B31" s="50"/>
      <c r="C31" s="7"/>
      <c r="D31" s="6"/>
      <c r="E31" s="54"/>
      <c r="F31" s="54"/>
      <c r="H31" s="985"/>
    </row>
    <row r="32" spans="2:6" ht="14.25">
      <c r="B32" s="50"/>
      <c r="C32" s="7" t="s">
        <v>57</v>
      </c>
      <c r="D32" s="6"/>
      <c r="E32" s="79">
        <v>0</v>
      </c>
      <c r="F32" s="79">
        <v>0</v>
      </c>
    </row>
    <row r="33" spans="2:6" ht="6.75" customHeight="1">
      <c r="B33" s="50"/>
      <c r="C33" s="7"/>
      <c r="D33" s="27"/>
      <c r="E33" s="28"/>
      <c r="F33" s="28"/>
    </row>
    <row r="34" spans="2:6" ht="15">
      <c r="B34" s="989"/>
      <c r="C34" s="990"/>
      <c r="D34" s="991" t="s">
        <v>35</v>
      </c>
      <c r="E34" s="992">
        <f>E4</f>
        <v>1292002</v>
      </c>
      <c r="F34" s="992">
        <v>1000002</v>
      </c>
    </row>
    <row r="35" ht="20.25" customHeight="1"/>
    <row r="36" spans="2:6" ht="57" customHeight="1">
      <c r="B36" s="2065" t="s">
        <v>383</v>
      </c>
      <c r="C36" s="2065"/>
      <c r="D36" s="2065"/>
      <c r="E36" s="2065"/>
      <c r="F36" s="2065"/>
    </row>
  </sheetData>
  <sheetProtection/>
  <mergeCells count="3">
    <mergeCell ref="B2:D2"/>
    <mergeCell ref="C14:D14"/>
    <mergeCell ref="B36:F36"/>
  </mergeCells>
  <printOptions/>
  <pageMargins left="0.75" right="0.75" top="1" bottom="1" header="0.5" footer="0.5"/>
  <pageSetup horizontalDpi="600" verticalDpi="600" orientation="landscape" paperSize="9" r:id="rId1"/>
  <ignoredErrors>
    <ignoredError sqref="E6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1:O32"/>
  <sheetViews>
    <sheetView zoomScale="90" zoomScaleNormal="90" zoomScalePageLayoutView="0" workbookViewId="0" topLeftCell="A1">
      <selection activeCell="M30" sqref="M30"/>
    </sheetView>
  </sheetViews>
  <sheetFormatPr defaultColWidth="9.140625" defaultRowHeight="12.75"/>
  <cols>
    <col min="1" max="1" width="9.140625" style="39" customWidth="1"/>
    <col min="2" max="2" width="2.57421875" style="65" customWidth="1"/>
    <col min="3" max="3" width="24.28125" style="39" customWidth="1"/>
    <col min="4" max="4" width="11.421875" style="39" customWidth="1"/>
    <col min="5" max="5" width="14.28125" style="39" customWidth="1"/>
    <col min="6" max="6" width="12.00390625" style="39" customWidth="1"/>
    <col min="7" max="7" width="21.28125" style="39" customWidth="1"/>
    <col min="8" max="9" width="12.57421875" style="39" customWidth="1"/>
    <col min="10" max="10" width="12.421875" style="39" customWidth="1"/>
    <col min="11" max="11" width="12.28125" style="39" customWidth="1"/>
    <col min="12" max="12" width="11.8515625" style="39" customWidth="1"/>
    <col min="13" max="16384" width="9.140625" style="39" customWidth="1"/>
  </cols>
  <sheetData>
    <row r="1" spans="2:3" ht="16.5" customHeight="1">
      <c r="B1" s="395" t="s">
        <v>246</v>
      </c>
      <c r="C1" s="148"/>
    </row>
    <row r="2" spans="2:12" ht="58.5" customHeight="1">
      <c r="B2" s="2041" t="s">
        <v>36</v>
      </c>
      <c r="C2" s="2042"/>
      <c r="D2" s="66" t="s">
        <v>37</v>
      </c>
      <c r="E2" s="67" t="s">
        <v>38</v>
      </c>
      <c r="F2" s="68" t="s">
        <v>39</v>
      </c>
      <c r="G2" s="67" t="s">
        <v>40</v>
      </c>
      <c r="H2" s="66" t="s">
        <v>41</v>
      </c>
      <c r="I2" s="97" t="s">
        <v>59</v>
      </c>
      <c r="J2" s="66" t="s">
        <v>42</v>
      </c>
      <c r="K2" s="69" t="s">
        <v>43</v>
      </c>
      <c r="L2" s="66" t="s">
        <v>44</v>
      </c>
    </row>
    <row r="3" spans="2:12" s="10" customFormat="1" ht="6" customHeight="1">
      <c r="B3" s="1"/>
      <c r="C3" s="2"/>
      <c r="D3" s="72"/>
      <c r="E3" s="3"/>
      <c r="F3" s="72"/>
      <c r="G3" s="507"/>
      <c r="H3" s="507"/>
      <c r="I3" s="507"/>
      <c r="J3" s="507"/>
      <c r="K3" s="507"/>
      <c r="L3" s="507"/>
    </row>
    <row r="4" spans="2:12" ht="29.25" customHeight="1">
      <c r="B4" s="472" t="s">
        <v>15</v>
      </c>
      <c r="C4" s="71" t="s">
        <v>45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</row>
    <row r="5" spans="2:12" s="10" customFormat="1" ht="6" customHeight="1">
      <c r="B5" s="63"/>
      <c r="C5" s="26"/>
      <c r="D5" s="45"/>
      <c r="E5" s="28"/>
      <c r="F5" s="45"/>
      <c r="G5" s="508"/>
      <c r="H5" s="508"/>
      <c r="I5" s="508"/>
      <c r="J5" s="508"/>
      <c r="K5" s="508"/>
      <c r="L5" s="508"/>
    </row>
    <row r="6" spans="2:12" s="10" customFormat="1" ht="6" customHeight="1">
      <c r="B6" s="1"/>
      <c r="C6" s="22"/>
      <c r="D6" s="72"/>
      <c r="E6" s="23"/>
      <c r="F6" s="1"/>
      <c r="G6" s="509"/>
      <c r="H6" s="510"/>
      <c r="I6" s="510"/>
      <c r="J6" s="509"/>
      <c r="K6" s="509"/>
      <c r="L6" s="509"/>
    </row>
    <row r="7" spans="2:12" ht="29.25" customHeight="1">
      <c r="B7" s="472" t="s">
        <v>17</v>
      </c>
      <c r="C7" s="70" t="s">
        <v>46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</row>
    <row r="8" spans="2:12" s="10" customFormat="1" ht="6" customHeight="1">
      <c r="B8" s="63"/>
      <c r="C8" s="27"/>
      <c r="D8" s="45"/>
      <c r="E8" s="28"/>
      <c r="F8" s="63"/>
      <c r="G8" s="508"/>
      <c r="H8" s="511"/>
      <c r="I8" s="511"/>
      <c r="J8" s="508"/>
      <c r="K8" s="508"/>
      <c r="L8" s="508"/>
    </row>
    <row r="9" spans="2:12" s="10" customFormat="1" ht="6" customHeight="1">
      <c r="B9" s="1"/>
      <c r="C9" s="22"/>
      <c r="D9" s="3"/>
      <c r="E9" s="23"/>
      <c r="F9" s="72"/>
      <c r="G9" s="512"/>
      <c r="H9" s="509"/>
      <c r="I9" s="509"/>
      <c r="J9" s="509"/>
      <c r="K9" s="509"/>
      <c r="L9" s="509"/>
    </row>
    <row r="10" spans="2:12" ht="29.25" customHeight="1">
      <c r="B10" s="472" t="s">
        <v>22</v>
      </c>
      <c r="C10" s="70" t="s">
        <v>48</v>
      </c>
      <c r="D10" s="233"/>
      <c r="E10" s="34"/>
      <c r="F10" s="34"/>
      <c r="G10" s="34"/>
      <c r="H10" s="34"/>
      <c r="I10" s="34"/>
      <c r="J10" s="34"/>
      <c r="K10" s="34"/>
      <c r="L10" s="34"/>
    </row>
    <row r="11" spans="2:12" s="10" customFormat="1" ht="6" customHeight="1">
      <c r="B11" s="50"/>
      <c r="C11" s="6"/>
      <c r="D11" s="6"/>
      <c r="E11" s="31"/>
      <c r="F11" s="32"/>
      <c r="G11" s="33"/>
      <c r="H11" s="31"/>
      <c r="I11" s="31"/>
      <c r="J11" s="32"/>
      <c r="K11" s="33"/>
      <c r="L11" s="513"/>
    </row>
    <row r="12" spans="2:12" s="120" customFormat="1" ht="6" customHeight="1">
      <c r="B12" s="163"/>
      <c r="C12" s="235"/>
      <c r="D12" s="77"/>
      <c r="E12" s="73"/>
      <c r="F12" s="74"/>
      <c r="G12" s="75"/>
      <c r="H12" s="77"/>
      <c r="I12" s="77"/>
      <c r="J12" s="81"/>
      <c r="K12" s="81"/>
      <c r="L12" s="76"/>
    </row>
    <row r="13" spans="2:12" s="120" customFormat="1" ht="87" customHeight="1">
      <c r="B13" s="163"/>
      <c r="C13" s="136" t="s">
        <v>238</v>
      </c>
      <c r="D13" s="77"/>
      <c r="E13" s="73"/>
      <c r="F13" s="74"/>
      <c r="G13" s="75"/>
      <c r="H13" s="77"/>
      <c r="I13" s="77"/>
      <c r="J13" s="81"/>
      <c r="K13" s="81"/>
      <c r="L13" s="76"/>
    </row>
    <row r="14" spans="2:12" s="120" customFormat="1" ht="6" customHeight="1">
      <c r="B14" s="163"/>
      <c r="C14" s="235"/>
      <c r="D14" s="77"/>
      <c r="E14" s="73"/>
      <c r="F14" s="74"/>
      <c r="G14" s="75"/>
      <c r="H14" s="77"/>
      <c r="I14" s="77"/>
      <c r="J14" s="81"/>
      <c r="K14" s="81"/>
      <c r="L14" s="76"/>
    </row>
    <row r="15" spans="2:12" s="390" customFormat="1" ht="15.75" customHeight="1">
      <c r="B15" s="118"/>
      <c r="C15" s="234" t="s">
        <v>213</v>
      </c>
      <c r="D15" s="119"/>
      <c r="E15" s="164"/>
      <c r="F15" s="165"/>
      <c r="G15" s="166"/>
      <c r="H15" s="164"/>
      <c r="I15" s="164"/>
      <c r="J15" s="165"/>
      <c r="K15" s="166"/>
      <c r="L15" s="514"/>
    </row>
    <row r="16" spans="2:12" s="390" customFormat="1" ht="6" customHeight="1">
      <c r="B16" s="118"/>
      <c r="C16" s="234"/>
      <c r="D16" s="119"/>
      <c r="E16" s="164"/>
      <c r="F16" s="230"/>
      <c r="G16" s="166"/>
      <c r="H16" s="231"/>
      <c r="I16" s="231"/>
      <c r="J16" s="165"/>
      <c r="K16" s="166"/>
      <c r="L16" s="514"/>
    </row>
    <row r="17" spans="2:13" s="390" customFormat="1" ht="28.5">
      <c r="B17" s="118" t="s">
        <v>0</v>
      </c>
      <c r="C17" s="216" t="str">
        <f>+Riepilogo!D40</f>
        <v>Giesse S.r.l. </v>
      </c>
      <c r="D17" s="77">
        <f>+Riepilogo!AM40</f>
        <v>1</v>
      </c>
      <c r="E17" s="73">
        <f>Riepilogo!G40*100</f>
        <v>20</v>
      </c>
      <c r="F17" s="74">
        <f>E17</f>
        <v>20</v>
      </c>
      <c r="G17" s="102" t="s">
        <v>233</v>
      </c>
      <c r="H17" s="77">
        <v>23000979</v>
      </c>
      <c r="I17" s="77">
        <v>12649257</v>
      </c>
      <c r="J17" s="81">
        <v>6667620</v>
      </c>
      <c r="K17" s="856">
        <v>-604309</v>
      </c>
      <c r="L17" s="103" t="s">
        <v>47</v>
      </c>
      <c r="M17" s="167" t="s">
        <v>445</v>
      </c>
    </row>
    <row r="18" spans="2:12" s="390" customFormat="1" ht="6" customHeight="1">
      <c r="B18" s="118"/>
      <c r="C18" s="855"/>
      <c r="D18" s="119"/>
      <c r="E18" s="164"/>
      <c r="F18" s="230"/>
      <c r="G18" s="166"/>
      <c r="H18" s="231"/>
      <c r="I18" s="231"/>
      <c r="J18" s="165"/>
      <c r="K18" s="856"/>
      <c r="L18" s="514"/>
    </row>
    <row r="19" spans="2:13" s="120" customFormat="1" ht="29.25" customHeight="1">
      <c r="B19" s="118" t="s">
        <v>2</v>
      </c>
      <c r="C19" s="216" t="str">
        <f>Riepilogo!D42</f>
        <v>Nuove Energie S.r.l.</v>
      </c>
      <c r="D19" s="77">
        <f>Riepilogo!AM42</f>
        <v>292000</v>
      </c>
      <c r="E19" s="73">
        <f>Riepilogo!G42*100</f>
        <v>38</v>
      </c>
      <c r="F19" s="74">
        <f>E19</f>
        <v>38</v>
      </c>
      <c r="G19" s="102" t="s">
        <v>588</v>
      </c>
      <c r="H19" s="77">
        <v>5239375</v>
      </c>
      <c r="I19" s="77">
        <v>3408752</v>
      </c>
      <c r="J19" s="81">
        <v>1881688</v>
      </c>
      <c r="K19" s="856">
        <v>-1105</v>
      </c>
      <c r="L19" s="103" t="s">
        <v>47</v>
      </c>
      <c r="M19" s="167" t="s">
        <v>590</v>
      </c>
    </row>
    <row r="20" spans="2:13" s="120" customFormat="1" ht="6" customHeight="1">
      <c r="B20" s="118"/>
      <c r="C20" s="216"/>
      <c r="D20" s="232"/>
      <c r="E20" s="73"/>
      <c r="F20" s="74"/>
      <c r="G20" s="102"/>
      <c r="H20" s="77"/>
      <c r="I20" s="77"/>
      <c r="J20" s="81"/>
      <c r="K20" s="856"/>
      <c r="L20" s="103"/>
      <c r="M20" s="167"/>
    </row>
    <row r="21" spans="2:13" s="120" customFormat="1" ht="15.75" customHeight="1">
      <c r="B21" s="118"/>
      <c r="C21" s="236" t="s">
        <v>228</v>
      </c>
      <c r="D21" s="232"/>
      <c r="E21" s="73"/>
      <c r="F21" s="74"/>
      <c r="G21" s="102"/>
      <c r="H21" s="77"/>
      <c r="I21" s="77"/>
      <c r="J21" s="81"/>
      <c r="K21" s="856"/>
      <c r="L21" s="103"/>
      <c r="M21" s="167"/>
    </row>
    <row r="22" spans="2:13" s="120" customFormat="1" ht="6" customHeight="1">
      <c r="B22" s="118"/>
      <c r="C22" s="216"/>
      <c r="E22" s="73"/>
      <c r="F22" s="74"/>
      <c r="G22" s="102"/>
      <c r="H22" s="77"/>
      <c r="I22" s="77"/>
      <c r="J22" s="81"/>
      <c r="K22" s="856"/>
      <c r="L22" s="103"/>
      <c r="M22" s="167"/>
    </row>
    <row r="23" spans="2:12" s="390" customFormat="1" ht="15.75" customHeight="1">
      <c r="B23" s="118"/>
      <c r="C23" s="855" t="s">
        <v>213</v>
      </c>
      <c r="D23" s="119"/>
      <c r="E23" s="164"/>
      <c r="F23" s="165"/>
      <c r="G23" s="166"/>
      <c r="H23" s="164"/>
      <c r="I23" s="164"/>
      <c r="J23" s="165"/>
      <c r="K23" s="166"/>
      <c r="L23" s="514"/>
    </row>
    <row r="24" spans="2:13" s="120" customFormat="1" ht="6" customHeight="1">
      <c r="B24" s="118"/>
      <c r="C24" s="216"/>
      <c r="E24" s="73"/>
      <c r="F24" s="74"/>
      <c r="G24" s="102"/>
      <c r="H24" s="77"/>
      <c r="I24" s="77"/>
      <c r="J24" s="857"/>
      <c r="K24" s="856"/>
      <c r="L24" s="103"/>
      <c r="M24" s="167"/>
    </row>
    <row r="25" spans="2:13" s="120" customFormat="1" ht="29.25" customHeight="1">
      <c r="B25" s="118" t="s">
        <v>3</v>
      </c>
      <c r="C25" s="235" t="str">
        <f>+Riepilogo!D53</f>
        <v>Bellelli Engineering S.r.l.</v>
      </c>
      <c r="D25" s="77">
        <f>Riepilogo!AM53</f>
        <v>1</v>
      </c>
      <c r="E25" s="73">
        <f>Riepilogo!G53*100</f>
        <v>21.996879875195006</v>
      </c>
      <c r="F25" s="74">
        <f>E25</f>
        <v>21.996879875195006</v>
      </c>
      <c r="G25" s="102" t="s">
        <v>272</v>
      </c>
      <c r="H25" s="77">
        <f>'Dettaglio PN - Info per N.I.'!F150</f>
        <v>35100929</v>
      </c>
      <c r="I25" s="77">
        <v>19848998</v>
      </c>
      <c r="J25" s="77">
        <f>'Dettaglio PN - Info per N.I.'!C150</f>
        <v>132780</v>
      </c>
      <c r="K25" s="856">
        <f>'Dettaglio PN - Info per N.I.'!C149</f>
        <v>-3067572</v>
      </c>
      <c r="L25" s="103" t="s">
        <v>47</v>
      </c>
      <c r="M25" s="167" t="s">
        <v>590</v>
      </c>
    </row>
    <row r="26" spans="2:15" s="10" customFormat="1" ht="6" customHeight="1">
      <c r="B26" s="63"/>
      <c r="C26" s="177"/>
      <c r="D26" s="177"/>
      <c r="E26" s="858"/>
      <c r="F26" s="859"/>
      <c r="G26" s="860"/>
      <c r="H26" s="858"/>
      <c r="I26" s="858"/>
      <c r="J26" s="859"/>
      <c r="K26" s="860"/>
      <c r="L26" s="479"/>
      <c r="M26" s="390"/>
      <c r="N26" s="390"/>
      <c r="O26" s="390"/>
    </row>
    <row r="27" spans="3:15" ht="14.25"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3:15" ht="37.5" customHeight="1">
      <c r="C28" s="2043" t="s">
        <v>444</v>
      </c>
      <c r="D28" s="2043"/>
      <c r="E28" s="2043"/>
      <c r="F28" s="2043"/>
      <c r="G28" s="2043"/>
      <c r="H28" s="2043"/>
      <c r="I28" s="2043"/>
      <c r="J28" s="2043"/>
      <c r="K28" s="2043"/>
      <c r="L28" s="2043"/>
      <c r="M28" s="120"/>
      <c r="N28" s="120"/>
      <c r="O28" s="120"/>
    </row>
    <row r="29" spans="3:12" ht="14.25">
      <c r="C29" s="2066" t="s">
        <v>591</v>
      </c>
      <c r="D29" s="2066"/>
      <c r="E29" s="2066"/>
      <c r="F29" s="2066"/>
      <c r="G29" s="2066"/>
      <c r="H29" s="2066"/>
      <c r="I29" s="2066"/>
      <c r="J29" s="2066"/>
      <c r="K29" s="2066"/>
      <c r="L29" s="2066"/>
    </row>
    <row r="30" spans="3:12" ht="16.5" customHeight="1">
      <c r="C30" s="2066" t="s">
        <v>589</v>
      </c>
      <c r="D30" s="2066"/>
      <c r="E30" s="2066"/>
      <c r="F30" s="2066"/>
      <c r="G30" s="2066"/>
      <c r="H30" s="2066"/>
      <c r="I30" s="2066"/>
      <c r="J30" s="2066"/>
      <c r="K30" s="2066"/>
      <c r="L30" s="2066"/>
    </row>
    <row r="32" ht="14.25">
      <c r="C32" s="120"/>
    </row>
  </sheetData>
  <sheetProtection/>
  <mergeCells count="4">
    <mergeCell ref="B2:C2"/>
    <mergeCell ref="C28:L28"/>
    <mergeCell ref="C30:L30"/>
    <mergeCell ref="C29:L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F14"/>
  <sheetViews>
    <sheetView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6.00390625" style="12" customWidth="1"/>
    <col min="2" max="2" width="5.140625" style="12" customWidth="1"/>
    <col min="3" max="3" width="9.421875" style="12" bestFit="1" customWidth="1"/>
    <col min="4" max="4" width="51.00390625" style="12" customWidth="1"/>
    <col min="5" max="6" width="17.421875" style="35" customWidth="1"/>
    <col min="7" max="16384" width="9.140625" style="12" customWidth="1"/>
  </cols>
  <sheetData>
    <row r="1" ht="23.25" customHeight="1"/>
    <row r="2" spans="2:6" ht="37.5" customHeight="1">
      <c r="B2" s="2067" t="s">
        <v>34</v>
      </c>
      <c r="C2" s="2067"/>
      <c r="D2" s="2067"/>
      <c r="E2" s="143">
        <v>42735</v>
      </c>
      <c r="F2" s="143">
        <v>42369</v>
      </c>
    </row>
    <row r="3" spans="2:6" ht="6" customHeight="1">
      <c r="B3" s="1"/>
      <c r="C3" s="2"/>
      <c r="D3" s="3"/>
      <c r="E3" s="47"/>
      <c r="F3" s="64"/>
    </row>
    <row r="4" spans="2:6" ht="15">
      <c r="B4" s="80" t="s">
        <v>15</v>
      </c>
      <c r="C4" s="20" t="s">
        <v>65</v>
      </c>
      <c r="D4" s="7"/>
      <c r="E4" s="424">
        <f>SUM(E5:E6)+E8+E10+E12</f>
        <v>3208</v>
      </c>
      <c r="F4" s="424">
        <f>SUM(F5:F6)+F8+F10+F12</f>
        <v>3208</v>
      </c>
    </row>
    <row r="5" spans="2:6" ht="6" customHeight="1">
      <c r="B5" s="50"/>
      <c r="C5" s="7"/>
      <c r="D5" s="6"/>
      <c r="E5" s="14"/>
      <c r="F5" s="14"/>
    </row>
    <row r="6" spans="2:6" ht="14.25">
      <c r="B6" s="50"/>
      <c r="C6" s="7" t="s">
        <v>54</v>
      </c>
      <c r="D6" s="6"/>
      <c r="E6" s="149">
        <v>3208</v>
      </c>
      <c r="F6" s="149">
        <v>3208</v>
      </c>
    </row>
    <row r="7" spans="2:6" ht="6" customHeight="1">
      <c r="B7" s="50"/>
      <c r="C7" s="7"/>
      <c r="D7" s="6"/>
      <c r="E7" s="1053"/>
      <c r="F7" s="1053"/>
    </row>
    <row r="8" spans="2:6" ht="14.25">
      <c r="B8" s="50"/>
      <c r="C8" s="7" t="s">
        <v>55</v>
      </c>
      <c r="D8" s="6"/>
      <c r="E8" s="79">
        <v>0</v>
      </c>
      <c r="F8" s="79">
        <v>0</v>
      </c>
    </row>
    <row r="9" spans="2:6" ht="6" customHeight="1">
      <c r="B9" s="50"/>
      <c r="C9" s="7"/>
      <c r="D9" s="6"/>
      <c r="E9" s="14"/>
      <c r="F9" s="14"/>
    </row>
    <row r="10" spans="2:6" ht="14.25">
      <c r="B10" s="50"/>
      <c r="C10" s="7" t="s">
        <v>56</v>
      </c>
      <c r="D10" s="6"/>
      <c r="E10" s="79">
        <v>0</v>
      </c>
      <c r="F10" s="79">
        <v>0</v>
      </c>
    </row>
    <row r="11" spans="2:6" ht="6" customHeight="1">
      <c r="B11" s="50"/>
      <c r="C11" s="7"/>
      <c r="D11" s="6"/>
      <c r="E11" s="14"/>
      <c r="F11" s="14"/>
    </row>
    <row r="12" spans="2:6" ht="14.25">
      <c r="B12" s="50"/>
      <c r="C12" s="7" t="s">
        <v>57</v>
      </c>
      <c r="D12" s="6"/>
      <c r="E12" s="79">
        <v>0</v>
      </c>
      <c r="F12" s="79">
        <v>0</v>
      </c>
    </row>
    <row r="13" spans="2:6" ht="6" customHeight="1">
      <c r="B13" s="50"/>
      <c r="C13" s="7"/>
      <c r="D13" s="27"/>
      <c r="E13" s="28"/>
      <c r="F13" s="46"/>
    </row>
    <row r="14" spans="2:6" ht="21.75" customHeight="1">
      <c r="B14" s="989"/>
      <c r="C14" s="990"/>
      <c r="D14" s="991" t="s">
        <v>35</v>
      </c>
      <c r="E14" s="1054">
        <f>E4</f>
        <v>3208</v>
      </c>
      <c r="F14" s="1054">
        <f>F4</f>
        <v>3208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B1:P79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O73" sqref="O73"/>
    </sheetView>
  </sheetViews>
  <sheetFormatPr defaultColWidth="9.140625" defaultRowHeight="12.75"/>
  <cols>
    <col min="1" max="1" width="11.00390625" style="39" customWidth="1"/>
    <col min="2" max="2" width="3.8515625" style="65" customWidth="1"/>
    <col min="3" max="3" width="9.140625" style="39" customWidth="1"/>
    <col min="4" max="4" width="33.8515625" style="39" customWidth="1"/>
    <col min="5" max="8" width="12.7109375" style="39" customWidth="1"/>
    <col min="9" max="12" width="12.7109375" style="65" customWidth="1"/>
    <col min="13" max="13" width="14.421875" style="39" customWidth="1"/>
    <col min="14" max="16384" width="9.140625" style="39" customWidth="1"/>
  </cols>
  <sheetData>
    <row r="1" spans="2:11" ht="14.25">
      <c r="B1" s="414" t="s">
        <v>247</v>
      </c>
      <c r="C1" s="414"/>
      <c r="D1" s="414"/>
      <c r="E1" s="414"/>
      <c r="F1" s="414"/>
      <c r="G1" s="414"/>
      <c r="H1" s="414"/>
      <c r="I1" s="176"/>
      <c r="J1" s="176"/>
      <c r="K1" s="176"/>
    </row>
    <row r="2" spans="2:12" ht="32.25" customHeight="1">
      <c r="B2" s="1958"/>
      <c r="C2" s="1959"/>
      <c r="D2" s="1960"/>
      <c r="E2" s="1996">
        <v>42735</v>
      </c>
      <c r="F2" s="1997"/>
      <c r="G2" s="1997"/>
      <c r="H2" s="1998"/>
      <c r="I2" s="1971">
        <v>42369</v>
      </c>
      <c r="J2" s="1972"/>
      <c r="K2" s="1972"/>
      <c r="L2" s="1973"/>
    </row>
    <row r="3" spans="2:12" ht="59.25" customHeight="1">
      <c r="B3" s="1961"/>
      <c r="C3" s="1962"/>
      <c r="D3" s="1963"/>
      <c r="E3" s="93" t="s">
        <v>96</v>
      </c>
      <c r="F3" s="37" t="s">
        <v>97</v>
      </c>
      <c r="G3" s="37" t="s">
        <v>98</v>
      </c>
      <c r="H3" s="93" t="s">
        <v>37</v>
      </c>
      <c r="I3" s="93" t="s">
        <v>96</v>
      </c>
      <c r="J3" s="37" t="s">
        <v>97</v>
      </c>
      <c r="K3" s="37" t="s">
        <v>98</v>
      </c>
      <c r="L3" s="37" t="s">
        <v>37</v>
      </c>
    </row>
    <row r="4" spans="2:12" s="10" customFormat="1" ht="6" customHeight="1">
      <c r="B4" s="1"/>
      <c r="C4" s="21"/>
      <c r="D4" s="22"/>
      <c r="E4" s="22"/>
      <c r="F4" s="22"/>
      <c r="G4" s="22"/>
      <c r="H4" s="22"/>
      <c r="I4" s="935"/>
      <c r="J4" s="936"/>
      <c r="K4" s="937"/>
      <c r="L4" s="935"/>
    </row>
    <row r="5" spans="2:12" ht="16.5" customHeight="1">
      <c r="B5" s="80" t="s">
        <v>0</v>
      </c>
      <c r="C5" s="2073" t="s">
        <v>99</v>
      </c>
      <c r="D5" s="2074"/>
      <c r="E5" s="938">
        <f aca="true" t="shared" si="0" ref="E5:L5">E7+E13+E19</f>
        <v>7899959.74</v>
      </c>
      <c r="F5" s="939">
        <f t="shared" si="0"/>
        <v>-1978112.95</v>
      </c>
      <c r="G5" s="931">
        <f t="shared" si="0"/>
        <v>0</v>
      </c>
      <c r="H5" s="938">
        <f t="shared" si="0"/>
        <v>6456960.74</v>
      </c>
      <c r="I5" s="938">
        <f t="shared" si="0"/>
        <v>9999429</v>
      </c>
      <c r="J5" s="939">
        <f t="shared" si="0"/>
        <v>-2248113</v>
      </c>
      <c r="K5" s="931">
        <f t="shared" si="0"/>
        <v>0</v>
      </c>
      <c r="L5" s="938">
        <f t="shared" si="0"/>
        <v>7751316</v>
      </c>
    </row>
    <row r="6" spans="2:12" s="10" customFormat="1" ht="6" customHeight="1">
      <c r="B6" s="50"/>
      <c r="C6" s="7"/>
      <c r="D6" s="6"/>
      <c r="E6" s="938"/>
      <c r="F6" s="939"/>
      <c r="G6" s="931"/>
      <c r="H6" s="938"/>
      <c r="I6" s="940"/>
      <c r="J6" s="941"/>
      <c r="K6" s="942"/>
      <c r="L6" s="940"/>
    </row>
    <row r="7" spans="2:12" ht="16.5" customHeight="1">
      <c r="B7" s="50" t="s">
        <v>6</v>
      </c>
      <c r="C7" s="1969" t="s">
        <v>100</v>
      </c>
      <c r="D7" s="2075"/>
      <c r="E7" s="931">
        <f>E9+E11</f>
        <v>0</v>
      </c>
      <c r="F7" s="931">
        <v>0</v>
      </c>
      <c r="G7" s="931">
        <v>0</v>
      </c>
      <c r="H7" s="931">
        <v>0</v>
      </c>
      <c r="I7" s="931">
        <f>I9+I11</f>
        <v>0</v>
      </c>
      <c r="J7" s="931">
        <v>0</v>
      </c>
      <c r="K7" s="931">
        <v>0</v>
      </c>
      <c r="L7" s="931">
        <v>0</v>
      </c>
    </row>
    <row r="8" spans="2:12" s="10" customFormat="1" ht="6" customHeight="1">
      <c r="B8" s="50"/>
      <c r="C8" s="7"/>
      <c r="D8" s="6"/>
      <c r="E8" s="931"/>
      <c r="F8" s="931"/>
      <c r="G8" s="931"/>
      <c r="H8" s="931"/>
      <c r="I8" s="931"/>
      <c r="J8" s="931"/>
      <c r="K8" s="931"/>
      <c r="L8" s="931"/>
    </row>
    <row r="9" spans="2:12" ht="16.5" customHeight="1">
      <c r="B9" s="50"/>
      <c r="C9" s="1969" t="s">
        <v>101</v>
      </c>
      <c r="D9" s="2076"/>
      <c r="E9" s="931">
        <v>0</v>
      </c>
      <c r="F9" s="931">
        <v>0</v>
      </c>
      <c r="G9" s="931">
        <v>0</v>
      </c>
      <c r="H9" s="931">
        <v>0</v>
      </c>
      <c r="I9" s="931">
        <v>0</v>
      </c>
      <c r="J9" s="931">
        <v>0</v>
      </c>
      <c r="K9" s="931">
        <v>0</v>
      </c>
      <c r="L9" s="931">
        <v>0</v>
      </c>
    </row>
    <row r="10" spans="2:12" s="10" customFormat="1" ht="6" customHeight="1">
      <c r="B10" s="50"/>
      <c r="C10" s="7"/>
      <c r="D10" s="6"/>
      <c r="E10" s="931"/>
      <c r="F10" s="931"/>
      <c r="G10" s="931"/>
      <c r="H10" s="931"/>
      <c r="I10" s="931"/>
      <c r="J10" s="931"/>
      <c r="K10" s="931"/>
      <c r="L10" s="931"/>
    </row>
    <row r="11" spans="2:12" ht="16.5" customHeight="1">
      <c r="B11" s="50"/>
      <c r="C11" s="1969" t="s">
        <v>102</v>
      </c>
      <c r="D11" s="2076"/>
      <c r="E11" s="931">
        <v>0</v>
      </c>
      <c r="F11" s="931">
        <v>0</v>
      </c>
      <c r="G11" s="931">
        <v>0</v>
      </c>
      <c r="H11" s="931">
        <v>0</v>
      </c>
      <c r="I11" s="931">
        <v>0</v>
      </c>
      <c r="J11" s="931">
        <v>0</v>
      </c>
      <c r="K11" s="931">
        <v>0</v>
      </c>
      <c r="L11" s="931">
        <v>0</v>
      </c>
    </row>
    <row r="12" spans="2:12" s="10" customFormat="1" ht="6" customHeight="1">
      <c r="B12" s="50"/>
      <c r="C12" s="7"/>
      <c r="D12" s="6"/>
      <c r="E12" s="931"/>
      <c r="F12" s="931"/>
      <c r="G12" s="931"/>
      <c r="H12" s="931"/>
      <c r="I12" s="931"/>
      <c r="J12" s="931"/>
      <c r="K12" s="931"/>
      <c r="L12" s="931"/>
    </row>
    <row r="13" spans="2:12" ht="16.5" customHeight="1">
      <c r="B13" s="50" t="s">
        <v>7</v>
      </c>
      <c r="C13" s="1969" t="s">
        <v>103</v>
      </c>
      <c r="D13" s="2075"/>
      <c r="E13" s="931">
        <f>E15+E17</f>
        <v>0</v>
      </c>
      <c r="F13" s="931">
        <v>0</v>
      </c>
      <c r="G13" s="931">
        <v>0</v>
      </c>
      <c r="H13" s="931">
        <v>0</v>
      </c>
      <c r="I13" s="931">
        <f>I15+I17</f>
        <v>0</v>
      </c>
      <c r="J13" s="931">
        <v>0</v>
      </c>
      <c r="K13" s="931">
        <v>0</v>
      </c>
      <c r="L13" s="931">
        <v>0</v>
      </c>
    </row>
    <row r="14" spans="2:12" s="10" customFormat="1" ht="6" customHeight="1">
      <c r="B14" s="50"/>
      <c r="C14" s="7"/>
      <c r="D14" s="6"/>
      <c r="E14" s="931"/>
      <c r="F14" s="931"/>
      <c r="G14" s="931"/>
      <c r="H14" s="931"/>
      <c r="I14" s="931"/>
      <c r="J14" s="931"/>
      <c r="K14" s="931"/>
      <c r="L14" s="931"/>
    </row>
    <row r="15" spans="2:12" ht="16.5" customHeight="1">
      <c r="B15" s="50"/>
      <c r="C15" s="1969" t="s">
        <v>101</v>
      </c>
      <c r="D15" s="2076"/>
      <c r="E15" s="931">
        <v>0</v>
      </c>
      <c r="F15" s="931">
        <v>0</v>
      </c>
      <c r="G15" s="931">
        <v>0</v>
      </c>
      <c r="H15" s="931">
        <v>0</v>
      </c>
      <c r="I15" s="931">
        <v>0</v>
      </c>
      <c r="J15" s="931">
        <v>0</v>
      </c>
      <c r="K15" s="931">
        <v>0</v>
      </c>
      <c r="L15" s="931">
        <v>0</v>
      </c>
    </row>
    <row r="16" spans="2:12" s="10" customFormat="1" ht="6" customHeight="1">
      <c r="B16" s="50"/>
      <c r="C16" s="7"/>
      <c r="D16" s="6"/>
      <c r="E16" s="931"/>
      <c r="F16" s="931"/>
      <c r="G16" s="931"/>
      <c r="H16" s="931"/>
      <c r="I16" s="931"/>
      <c r="J16" s="931"/>
      <c r="K16" s="931"/>
      <c r="L16" s="931"/>
    </row>
    <row r="17" spans="2:12" ht="16.5" customHeight="1">
      <c r="B17" s="50"/>
      <c r="C17" s="1969" t="s">
        <v>102</v>
      </c>
      <c r="D17" s="2076"/>
      <c r="E17" s="931">
        <v>0</v>
      </c>
      <c r="F17" s="931">
        <v>0</v>
      </c>
      <c r="G17" s="931">
        <v>0</v>
      </c>
      <c r="H17" s="931">
        <v>0</v>
      </c>
      <c r="I17" s="931">
        <v>0</v>
      </c>
      <c r="J17" s="931">
        <v>0</v>
      </c>
      <c r="K17" s="931">
        <v>0</v>
      </c>
      <c r="L17" s="931">
        <v>0</v>
      </c>
    </row>
    <row r="18" spans="2:12" s="10" customFormat="1" ht="6" customHeight="1">
      <c r="B18" s="50"/>
      <c r="C18" s="7"/>
      <c r="D18" s="6"/>
      <c r="E18" s="923"/>
      <c r="F18" s="923"/>
      <c r="G18" s="923"/>
      <c r="H18" s="923"/>
      <c r="I18" s="943"/>
      <c r="J18" s="646"/>
      <c r="K18" s="943"/>
      <c r="L18" s="943"/>
    </row>
    <row r="19" spans="2:12" ht="16.5" customHeight="1">
      <c r="B19" s="50" t="s">
        <v>9</v>
      </c>
      <c r="C19" s="1969" t="s">
        <v>104</v>
      </c>
      <c r="D19" s="1994"/>
      <c r="E19" s="938">
        <f>E21+E23</f>
        <v>7899959.74</v>
      </c>
      <c r="F19" s="939">
        <f>F21+F23</f>
        <v>-1978112.95</v>
      </c>
      <c r="G19" s="931">
        <f>G21+G23</f>
        <v>0</v>
      </c>
      <c r="H19" s="938">
        <f>H21+H23</f>
        <v>6456960.74</v>
      </c>
      <c r="I19" s="944">
        <f>SUM(I20:I23)</f>
        <v>9999429</v>
      </c>
      <c r="J19" s="939">
        <f>J21+J23</f>
        <v>-2248113</v>
      </c>
      <c r="K19" s="931">
        <f>SUM(K20:K23)</f>
        <v>0</v>
      </c>
      <c r="L19" s="944">
        <f>SUM(L20:L23)</f>
        <v>7751316</v>
      </c>
    </row>
    <row r="20" spans="2:12" s="10" customFormat="1" ht="6" customHeight="1">
      <c r="B20" s="50"/>
      <c r="C20" s="7"/>
      <c r="D20" s="6"/>
      <c r="E20" s="924"/>
      <c r="F20" s="924"/>
      <c r="G20" s="931"/>
      <c r="H20" s="924"/>
      <c r="I20" s="945"/>
      <c r="J20" s="646"/>
      <c r="K20" s="943"/>
      <c r="L20" s="943"/>
    </row>
    <row r="21" spans="2:12" ht="16.5" customHeight="1">
      <c r="B21" s="50"/>
      <c r="C21" s="1969" t="s">
        <v>101</v>
      </c>
      <c r="D21" s="2076"/>
      <c r="E21" s="931">
        <v>0</v>
      </c>
      <c r="F21" s="931">
        <v>0</v>
      </c>
      <c r="G21" s="931">
        <v>0</v>
      </c>
      <c r="H21" s="931">
        <v>0</v>
      </c>
      <c r="I21" s="931">
        <v>0</v>
      </c>
      <c r="J21" s="931">
        <v>0</v>
      </c>
      <c r="K21" s="931">
        <v>0</v>
      </c>
      <c r="L21" s="945"/>
    </row>
    <row r="22" spans="2:12" s="10" customFormat="1" ht="6" customHeight="1">
      <c r="B22" s="50"/>
      <c r="C22" s="7"/>
      <c r="D22" s="6"/>
      <c r="E22" s="923"/>
      <c r="F22" s="923"/>
      <c r="G22" s="923"/>
      <c r="H22" s="923"/>
      <c r="I22" s="945"/>
      <c r="J22" s="646"/>
      <c r="K22" s="943"/>
      <c r="L22" s="943"/>
    </row>
    <row r="23" spans="2:16" ht="16.5" customHeight="1">
      <c r="B23" s="50"/>
      <c r="C23" s="1969" t="s">
        <v>102</v>
      </c>
      <c r="D23" s="2076"/>
      <c r="E23" s="945">
        <f aca="true" t="shared" si="1" ref="E23:J23">SUM(E25:E50)</f>
        <v>7899959.74</v>
      </c>
      <c r="F23" s="946">
        <f t="shared" si="1"/>
        <v>-1978112.95</v>
      </c>
      <c r="G23" s="931">
        <f t="shared" si="1"/>
        <v>0</v>
      </c>
      <c r="H23" s="946">
        <f t="shared" si="1"/>
        <v>6456960.74</v>
      </c>
      <c r="I23" s="945">
        <f t="shared" si="1"/>
        <v>9999429</v>
      </c>
      <c r="J23" s="946">
        <f t="shared" si="1"/>
        <v>-2248113</v>
      </c>
      <c r="K23" s="931">
        <v>0</v>
      </c>
      <c r="L23" s="945">
        <f>SUM(L25:L50)</f>
        <v>7751316</v>
      </c>
      <c r="O23" s="2077">
        <f>500000-253887.05</f>
        <v>246112.95</v>
      </c>
      <c r="P23" s="2077"/>
    </row>
    <row r="24" spans="2:12" s="10" customFormat="1" ht="6" customHeight="1">
      <c r="B24" s="50"/>
      <c r="C24" s="7"/>
      <c r="D24" s="6"/>
      <c r="E24" s="923"/>
      <c r="F24" s="923"/>
      <c r="G24" s="923"/>
      <c r="H24" s="923"/>
      <c r="I24" s="945"/>
      <c r="J24" s="646"/>
      <c r="K24" s="943"/>
      <c r="L24" s="943"/>
    </row>
    <row r="25" spans="2:12" ht="16.5" customHeight="1">
      <c r="B25" s="50"/>
      <c r="C25" s="2015" t="str">
        <f>Riepilogo!D44</f>
        <v>Adaptica S.r.l.</v>
      </c>
      <c r="D25" s="2069"/>
      <c r="E25" s="945">
        <f>Riepilogo!Z44</f>
        <v>642816.74</v>
      </c>
      <c r="F25" s="931">
        <v>0</v>
      </c>
      <c r="G25" s="931">
        <v>0</v>
      </c>
      <c r="H25" s="945">
        <f>Riepilogo!AM44</f>
        <v>642816.74</v>
      </c>
      <c r="I25" s="945">
        <v>642817</v>
      </c>
      <c r="J25" s="931">
        <v>0</v>
      </c>
      <c r="K25" s="931">
        <v>0</v>
      </c>
      <c r="L25" s="945">
        <v>642817</v>
      </c>
    </row>
    <row r="26" spans="2:12" s="10" customFormat="1" ht="6" customHeight="1">
      <c r="B26" s="50"/>
      <c r="C26" s="7"/>
      <c r="D26" s="6"/>
      <c r="E26" s="945"/>
      <c r="F26" s="923"/>
      <c r="G26" s="923"/>
      <c r="H26" s="945"/>
      <c r="I26" s="945"/>
      <c r="J26" s="646"/>
      <c r="K26" s="943"/>
      <c r="L26" s="943"/>
    </row>
    <row r="27" spans="2:13" ht="16.5" customHeight="1">
      <c r="B27" s="50"/>
      <c r="C27" s="2015" t="str">
        <f>Riepilogo!D10</f>
        <v>Cielle S.r.l.</v>
      </c>
      <c r="D27" s="2069"/>
      <c r="E27" s="945">
        <f>Riepilogo!Z10</f>
        <v>0</v>
      </c>
      <c r="F27" s="946">
        <v>-246112.95</v>
      </c>
      <c r="G27" s="932"/>
      <c r="H27" s="945">
        <f>Riepilogo!AM10</f>
        <v>0</v>
      </c>
      <c r="I27" s="945">
        <v>500000</v>
      </c>
      <c r="J27" s="946">
        <v>-246113</v>
      </c>
      <c r="K27" s="931">
        <v>0</v>
      </c>
      <c r="L27" s="945">
        <v>253887</v>
      </c>
      <c r="M27" s="519"/>
    </row>
    <row r="28" spans="2:12" s="10" customFormat="1" ht="6" customHeight="1">
      <c r="B28" s="50"/>
      <c r="C28" s="7"/>
      <c r="D28" s="6"/>
      <c r="E28" s="945"/>
      <c r="F28" s="923"/>
      <c r="G28" s="923"/>
      <c r="H28" s="945"/>
      <c r="I28" s="945"/>
      <c r="J28" s="646"/>
      <c r="K28" s="943"/>
      <c r="L28" s="943"/>
    </row>
    <row r="29" spans="2:12" s="10" customFormat="1" ht="22.5" customHeight="1">
      <c r="B29" s="50"/>
      <c r="C29" s="2071" t="str">
        <f>Riepilogo!D12</f>
        <v>Develon S.r.l.</v>
      </c>
      <c r="D29" s="2072"/>
      <c r="E29" s="945">
        <f>Riepilogo!Z12</f>
        <v>2000000.0000000002</v>
      </c>
      <c r="F29" s="931">
        <v>0</v>
      </c>
      <c r="G29" s="931">
        <v>0</v>
      </c>
      <c r="H29" s="945">
        <f>Riepilogo!AM12</f>
        <v>2000000.0000000002</v>
      </c>
      <c r="I29" s="931">
        <v>0</v>
      </c>
      <c r="J29" s="931">
        <v>0</v>
      </c>
      <c r="K29" s="931">
        <v>0</v>
      </c>
      <c r="L29" s="943"/>
    </row>
    <row r="30" spans="2:12" s="10" customFormat="1" ht="6" customHeight="1">
      <c r="B30" s="50"/>
      <c r="C30" s="7"/>
      <c r="D30" s="6"/>
      <c r="E30" s="945"/>
      <c r="F30" s="923"/>
      <c r="G30" s="923"/>
      <c r="H30" s="945"/>
      <c r="I30" s="945"/>
      <c r="J30" s="646"/>
      <c r="K30" s="943"/>
      <c r="L30" s="943"/>
    </row>
    <row r="31" spans="2:12" s="10" customFormat="1" ht="16.5" customHeight="1">
      <c r="B31" s="50"/>
      <c r="C31" s="2071" t="str">
        <f>Riepilogo!D14</f>
        <v>Garmont International S.r.l.</v>
      </c>
      <c r="D31" s="2072"/>
      <c r="E31" s="945">
        <f>Riepilogo!Z14</f>
        <v>0</v>
      </c>
      <c r="F31" s="931">
        <v>0</v>
      </c>
      <c r="G31" s="931">
        <v>0</v>
      </c>
      <c r="H31" s="945">
        <f>Riepilogo!AM14</f>
        <v>0</v>
      </c>
      <c r="I31" s="945">
        <v>1000000</v>
      </c>
      <c r="J31" s="931">
        <v>0</v>
      </c>
      <c r="K31" s="931">
        <v>0</v>
      </c>
      <c r="L31" s="945">
        <v>1000000</v>
      </c>
    </row>
    <row r="32" spans="2:12" s="10" customFormat="1" ht="6" customHeight="1">
      <c r="B32" s="50"/>
      <c r="C32" s="7"/>
      <c r="D32" s="6"/>
      <c r="E32" s="945"/>
      <c r="F32" s="923"/>
      <c r="G32" s="923"/>
      <c r="H32" s="945"/>
      <c r="I32" s="945"/>
      <c r="J32" s="646"/>
      <c r="K32" s="943"/>
      <c r="L32" s="943"/>
    </row>
    <row r="33" spans="2:12" ht="16.5" customHeight="1">
      <c r="B33" s="50"/>
      <c r="C33" s="2017" t="str">
        <f>Riepilogo!D16</f>
        <v>Interplanet S.r.l.</v>
      </c>
      <c r="D33" s="2069"/>
      <c r="E33" s="945">
        <f>Riepilogo!Z16</f>
        <v>750000</v>
      </c>
      <c r="F33" s="931">
        <v>0</v>
      </c>
      <c r="G33" s="931">
        <v>0</v>
      </c>
      <c r="H33" s="945">
        <f>Riepilogo!AM16</f>
        <v>750000</v>
      </c>
      <c r="I33" s="945">
        <v>750000</v>
      </c>
      <c r="J33" s="931">
        <v>0</v>
      </c>
      <c r="K33" s="931">
        <v>0</v>
      </c>
      <c r="L33" s="945">
        <v>750000</v>
      </c>
    </row>
    <row r="34" spans="2:12" s="10" customFormat="1" ht="6" customHeight="1">
      <c r="B34" s="50"/>
      <c r="C34" s="7"/>
      <c r="D34" s="6"/>
      <c r="E34" s="945"/>
      <c r="F34" s="923"/>
      <c r="G34" s="923"/>
      <c r="H34" s="945"/>
      <c r="I34" s="945"/>
      <c r="J34" s="646"/>
      <c r="K34" s="943"/>
      <c r="L34" s="943"/>
    </row>
    <row r="35" spans="2:12" ht="16.5" customHeight="1">
      <c r="B35" s="50"/>
      <c r="C35" s="2017" t="str">
        <f>Riepilogo!D18</f>
        <v>Neurimpulse S.r.l.</v>
      </c>
      <c r="D35" s="2069"/>
      <c r="E35" s="945">
        <f>Riepilogo!Z18</f>
        <v>600000</v>
      </c>
      <c r="F35" s="931">
        <v>0</v>
      </c>
      <c r="G35" s="931">
        <v>0</v>
      </c>
      <c r="H35" s="945">
        <f>Riepilogo!AM18</f>
        <v>600000</v>
      </c>
      <c r="I35" s="945">
        <v>600000</v>
      </c>
      <c r="J35" s="931">
        <v>0</v>
      </c>
      <c r="K35" s="931">
        <v>0</v>
      </c>
      <c r="L35" s="945">
        <v>600000</v>
      </c>
    </row>
    <row r="36" spans="2:12" s="10" customFormat="1" ht="6" customHeight="1">
      <c r="B36" s="50"/>
      <c r="C36" s="7"/>
      <c r="D36" s="6"/>
      <c r="E36" s="945"/>
      <c r="F36" s="923"/>
      <c r="G36" s="923"/>
      <c r="H36" s="945"/>
      <c r="I36" s="945"/>
      <c r="J36" s="646"/>
      <c r="K36" s="943"/>
      <c r="L36" s="943"/>
    </row>
    <row r="37" spans="2:12" ht="16.5" customHeight="1">
      <c r="B37" s="50"/>
      <c r="C37" s="2017" t="str">
        <f>Riepilogo!D42</f>
        <v>Nuove Energie S.r.l.</v>
      </c>
      <c r="D37" s="2018"/>
      <c r="E37" s="945"/>
      <c r="F37" s="932"/>
      <c r="G37" s="932"/>
      <c r="H37" s="945"/>
      <c r="I37" s="945">
        <v>800000</v>
      </c>
      <c r="J37" s="946">
        <v>-270000</v>
      </c>
      <c r="K37" s="931">
        <v>0</v>
      </c>
      <c r="L37" s="945">
        <v>530000</v>
      </c>
    </row>
    <row r="38" spans="2:12" s="10" customFormat="1" ht="6" customHeight="1">
      <c r="B38" s="50"/>
      <c r="C38" s="7"/>
      <c r="D38" s="6"/>
      <c r="E38" s="945"/>
      <c r="F38" s="923"/>
      <c r="G38" s="923"/>
      <c r="H38" s="945"/>
      <c r="I38" s="945"/>
      <c r="J38" s="646"/>
      <c r="K38" s="943"/>
      <c r="L38" s="943"/>
    </row>
    <row r="39" spans="2:12" ht="16.5" customHeight="1">
      <c r="B39" s="50"/>
      <c r="C39" s="2017" t="str">
        <f>Riepilogo!D20</f>
        <v>Officina Stellare S.r.l.</v>
      </c>
      <c r="D39" s="2069"/>
      <c r="E39" s="945">
        <f>Riepilogo!Z20</f>
        <v>500000</v>
      </c>
      <c r="F39" s="931">
        <v>0</v>
      </c>
      <c r="G39" s="931">
        <v>0</v>
      </c>
      <c r="H39" s="945">
        <f>Riepilogo!AM20</f>
        <v>500000</v>
      </c>
      <c r="I39" s="945">
        <v>500000</v>
      </c>
      <c r="J39" s="931">
        <v>0</v>
      </c>
      <c r="K39" s="931">
        <v>0</v>
      </c>
      <c r="L39" s="945">
        <v>500000</v>
      </c>
    </row>
    <row r="40" spans="2:12" s="10" customFormat="1" ht="6" customHeight="1">
      <c r="B40" s="50"/>
      <c r="C40" s="7"/>
      <c r="D40" s="6"/>
      <c r="E40" s="945"/>
      <c r="F40" s="923"/>
      <c r="G40" s="923"/>
      <c r="H40" s="945"/>
      <c r="I40" s="945"/>
      <c r="J40" s="646"/>
      <c r="K40" s="943"/>
      <c r="L40" s="943"/>
    </row>
    <row r="41" spans="2:12" ht="16.5" customHeight="1">
      <c r="B41" s="50"/>
      <c r="C41" s="2017" t="str">
        <f>Riepilogo!D22</f>
        <v>OTS S.r.l.</v>
      </c>
      <c r="D41" s="2069"/>
      <c r="E41" s="945">
        <f>Riepilogo!Z22</f>
        <v>800000</v>
      </c>
      <c r="F41" s="931">
        <v>0</v>
      </c>
      <c r="G41" s="931">
        <v>0</v>
      </c>
      <c r="H41" s="945">
        <f>Riepilogo!AM22</f>
        <v>800000</v>
      </c>
      <c r="I41" s="945">
        <v>500000</v>
      </c>
      <c r="J41" s="931">
        <v>0</v>
      </c>
      <c r="K41" s="931">
        <v>0</v>
      </c>
      <c r="L41" s="945">
        <v>500000</v>
      </c>
    </row>
    <row r="42" spans="2:12" s="10" customFormat="1" ht="6" customHeight="1">
      <c r="B42" s="50"/>
      <c r="C42" s="7"/>
      <c r="D42" s="6"/>
      <c r="E42" s="945"/>
      <c r="F42" s="923"/>
      <c r="G42" s="923"/>
      <c r="H42" s="945"/>
      <c r="I42" s="945"/>
      <c r="J42" s="646"/>
      <c r="K42" s="943"/>
      <c r="L42" s="943"/>
    </row>
    <row r="43" spans="2:12" ht="16.5" customHeight="1">
      <c r="B43" s="50"/>
      <c r="C43" s="2017" t="str">
        <f>Riepilogo!D24</f>
        <v>SI14 S.p.A.</v>
      </c>
      <c r="D43" s="2069"/>
      <c r="E43" s="945">
        <f>Riepilogo!Z24</f>
        <v>0</v>
      </c>
      <c r="F43" s="946">
        <f>Riepilogo!AI24+J43</f>
        <v>-1042000</v>
      </c>
      <c r="G43" s="932"/>
      <c r="H43" s="945">
        <f>Riepilogo!AM24</f>
        <v>0</v>
      </c>
      <c r="I43" s="945">
        <v>2099469</v>
      </c>
      <c r="J43" s="946">
        <v>-1042000</v>
      </c>
      <c r="K43" s="931">
        <v>0</v>
      </c>
      <c r="L43" s="945">
        <v>1057469</v>
      </c>
    </row>
    <row r="44" spans="2:12" s="10" customFormat="1" ht="6" customHeight="1">
      <c r="B44" s="50"/>
      <c r="C44" s="7"/>
      <c r="D44" s="6"/>
      <c r="E44" s="945"/>
      <c r="F44" s="946"/>
      <c r="G44" s="923"/>
      <c r="H44" s="945"/>
      <c r="I44" s="945"/>
      <c r="J44" s="646"/>
      <c r="K44" s="943"/>
      <c r="L44" s="943"/>
    </row>
    <row r="45" spans="2:12" ht="16.5" customHeight="1">
      <c r="B45" s="50"/>
      <c r="C45" s="229"/>
      <c r="D45" s="218" t="str">
        <f>Riepilogo!D46</f>
        <v>Walking Pipe S.p.A. in liquidazione</v>
      </c>
      <c r="E45" s="945">
        <f>Riepilogo!Z46</f>
        <v>800000</v>
      </c>
      <c r="F45" s="946">
        <f>Riepilogo!AI46+J45</f>
        <v>-310000</v>
      </c>
      <c r="G45" s="933"/>
      <c r="H45" s="945">
        <f>Riepilogo!AM46</f>
        <v>1</v>
      </c>
      <c r="I45" s="945">
        <v>800000</v>
      </c>
      <c r="J45" s="946">
        <v>-310000</v>
      </c>
      <c r="K45" s="931">
        <v>0</v>
      </c>
      <c r="L45" s="945">
        <v>490000</v>
      </c>
    </row>
    <row r="46" spans="2:12" s="10" customFormat="1" ht="6" customHeight="1">
      <c r="B46" s="50"/>
      <c r="C46" s="7"/>
      <c r="D46" s="6"/>
      <c r="E46" s="945"/>
      <c r="F46" s="946"/>
      <c r="G46" s="923"/>
      <c r="H46" s="945"/>
      <c r="I46" s="945"/>
      <c r="J46" s="646"/>
      <c r="K46" s="943"/>
      <c r="L46" s="943"/>
    </row>
    <row r="47" spans="2:12" ht="16.5" customHeight="1">
      <c r="B47" s="50"/>
      <c r="C47" s="2015" t="str">
        <f>Riepilogo!D28</f>
        <v>Xeptagen S.p.A.</v>
      </c>
      <c r="D47" s="2069"/>
      <c r="E47" s="945">
        <f>Riepilogo!Z28</f>
        <v>1107143</v>
      </c>
      <c r="F47" s="946">
        <f>Riepilogo!AI28+J47</f>
        <v>-380000</v>
      </c>
      <c r="G47" s="932"/>
      <c r="H47" s="945">
        <f>Riepilogo!AM28</f>
        <v>464143</v>
      </c>
      <c r="I47" s="945">
        <f>Riepilogo!Z28</f>
        <v>1107143</v>
      </c>
      <c r="J47" s="946">
        <v>-380000</v>
      </c>
      <c r="K47" s="931">
        <v>0</v>
      </c>
      <c r="L47" s="945">
        <v>727143</v>
      </c>
    </row>
    <row r="48" spans="2:12" s="10" customFormat="1" ht="6" customHeight="1">
      <c r="B48" s="50"/>
      <c r="C48" s="7"/>
      <c r="D48" s="6"/>
      <c r="E48" s="945"/>
      <c r="F48" s="946"/>
      <c r="G48" s="923"/>
      <c r="H48" s="945"/>
      <c r="I48" s="945"/>
      <c r="J48" s="646"/>
      <c r="K48" s="943"/>
      <c r="L48" s="943"/>
    </row>
    <row r="49" spans="2:12" ht="16.5" customHeight="1">
      <c r="B49" s="50"/>
      <c r="C49" s="2015" t="str">
        <f>Riepilogo!D30</f>
        <v>Zen Fonderie S.r.l.</v>
      </c>
      <c r="D49" s="2069"/>
      <c r="E49" s="945">
        <f>Riepilogo!Z30</f>
        <v>700000</v>
      </c>
      <c r="F49" s="946"/>
      <c r="G49" s="932"/>
      <c r="H49" s="945">
        <f>Riepilogo!AM30</f>
        <v>700000</v>
      </c>
      <c r="I49" s="945">
        <f>Riepilogo!Z30</f>
        <v>700000</v>
      </c>
      <c r="J49" s="931">
        <v>0</v>
      </c>
      <c r="K49" s="931">
        <v>0</v>
      </c>
      <c r="L49" s="945">
        <v>700000</v>
      </c>
    </row>
    <row r="50" spans="2:12" s="10" customFormat="1" ht="6" customHeight="1">
      <c r="B50" s="50"/>
      <c r="C50" s="7"/>
      <c r="D50" s="6"/>
      <c r="E50" s="945"/>
      <c r="F50" s="946"/>
      <c r="G50" s="923"/>
      <c r="H50" s="945"/>
      <c r="I50" s="945"/>
      <c r="J50" s="646"/>
      <c r="K50" s="943"/>
      <c r="L50" s="943"/>
    </row>
    <row r="51" spans="2:12" ht="16.5" customHeight="1">
      <c r="B51" s="95" t="s">
        <v>2</v>
      </c>
      <c r="C51" s="2073" t="s">
        <v>105</v>
      </c>
      <c r="D51" s="2074"/>
      <c r="E51" s="947">
        <f>E53</f>
        <v>3300000</v>
      </c>
      <c r="F51" s="939">
        <f>F53</f>
        <v>-1769999</v>
      </c>
      <c r="G51" s="931">
        <v>0</v>
      </c>
      <c r="H51" s="947">
        <f>H53</f>
        <v>1530001</v>
      </c>
      <c r="I51" s="944">
        <f>+I53</f>
        <v>3016457</v>
      </c>
      <c r="J51" s="944">
        <f>+J53</f>
        <v>-2016455</v>
      </c>
      <c r="K51" s="931">
        <f>SUM(K52:K67)</f>
        <v>0</v>
      </c>
      <c r="L51" s="944">
        <f>I51+J51+K51</f>
        <v>1000002</v>
      </c>
    </row>
    <row r="52" spans="2:12" s="10" customFormat="1" ht="6" customHeight="1">
      <c r="B52" s="50"/>
      <c r="C52" s="7"/>
      <c r="D52" s="6"/>
      <c r="E52" s="945"/>
      <c r="F52" s="946"/>
      <c r="G52" s="923"/>
      <c r="H52" s="945"/>
      <c r="I52" s="945"/>
      <c r="J52" s="646"/>
      <c r="K52" s="943"/>
      <c r="L52" s="943"/>
    </row>
    <row r="53" spans="2:12" ht="32.25" customHeight="1">
      <c r="B53" s="50"/>
      <c r="C53" s="1969" t="s">
        <v>106</v>
      </c>
      <c r="D53" s="2076"/>
      <c r="E53" s="947">
        <f>E55+E57</f>
        <v>3300000</v>
      </c>
      <c r="F53" s="939">
        <f>F55+F57</f>
        <v>-1769999</v>
      </c>
      <c r="G53" s="931">
        <v>0</v>
      </c>
      <c r="H53" s="947">
        <f>E53+F53</f>
        <v>1530001</v>
      </c>
      <c r="I53" s="947">
        <f>I57</f>
        <v>3016457</v>
      </c>
      <c r="J53" s="939">
        <f>J57</f>
        <v>-2016455</v>
      </c>
      <c r="K53" s="947" t="s">
        <v>226</v>
      </c>
      <c r="L53" s="947">
        <f>SUM(I53:K53)</f>
        <v>1000002</v>
      </c>
    </row>
    <row r="54" spans="2:12" s="10" customFormat="1" ht="6" customHeight="1">
      <c r="B54" s="50"/>
      <c r="C54" s="7"/>
      <c r="D54" s="6"/>
      <c r="E54" s="945"/>
      <c r="F54" s="923"/>
      <c r="G54" s="923"/>
      <c r="H54" s="945"/>
      <c r="I54" s="945"/>
      <c r="J54" s="646"/>
      <c r="K54" s="943"/>
      <c r="L54" s="943"/>
    </row>
    <row r="55" spans="2:12" ht="16.5" customHeight="1">
      <c r="B55" s="50"/>
      <c r="C55" s="1969" t="s">
        <v>101</v>
      </c>
      <c r="D55" s="2076"/>
      <c r="E55" s="931">
        <v>0</v>
      </c>
      <c r="F55" s="931">
        <v>0</v>
      </c>
      <c r="G55" s="931">
        <v>0</v>
      </c>
      <c r="H55" s="931">
        <v>0</v>
      </c>
      <c r="I55" s="931">
        <v>0</v>
      </c>
      <c r="J55" s="931">
        <v>0</v>
      </c>
      <c r="K55" s="931">
        <v>0</v>
      </c>
      <c r="L55" s="931">
        <v>0</v>
      </c>
    </row>
    <row r="56" spans="2:12" s="10" customFormat="1" ht="6" customHeight="1">
      <c r="B56" s="50"/>
      <c r="C56" s="7"/>
      <c r="D56" s="6"/>
      <c r="E56" s="945"/>
      <c r="F56" s="923"/>
      <c r="G56" s="931"/>
      <c r="H56" s="923"/>
      <c r="I56" s="945"/>
      <c r="J56" s="646"/>
      <c r="K56" s="943"/>
      <c r="L56" s="943"/>
    </row>
    <row r="57" spans="2:12" ht="16.5" customHeight="1">
      <c r="B57" s="50"/>
      <c r="C57" s="1969" t="s">
        <v>102</v>
      </c>
      <c r="D57" s="2076"/>
      <c r="E57" s="945">
        <f>SUM(E59:E65)</f>
        <v>3300000</v>
      </c>
      <c r="F57" s="946">
        <f>SUM(F59:F65)</f>
        <v>-1769999</v>
      </c>
      <c r="G57" s="931">
        <v>0</v>
      </c>
      <c r="H57" s="945">
        <f>SUM(H59:H65)</f>
        <v>292002</v>
      </c>
      <c r="I57" s="945">
        <f>SUM(I58:I66)</f>
        <v>3016457</v>
      </c>
      <c r="J57" s="946">
        <f>SUM(J58:J66)</f>
        <v>-2016455</v>
      </c>
      <c r="K57" s="948">
        <f>SUM(K58:K66)</f>
        <v>0</v>
      </c>
      <c r="L57" s="945">
        <f>SUM(I57:K57)</f>
        <v>1000002</v>
      </c>
    </row>
    <row r="58" spans="2:12" s="10" customFormat="1" ht="6" customHeight="1">
      <c r="B58" s="50"/>
      <c r="C58" s="7"/>
      <c r="D58" s="6"/>
      <c r="E58" s="945"/>
      <c r="F58" s="923"/>
      <c r="G58" s="931"/>
      <c r="H58" s="923"/>
      <c r="I58" s="948"/>
      <c r="J58" s="948"/>
      <c r="K58" s="948"/>
      <c r="L58" s="948"/>
    </row>
    <row r="59" spans="2:12" ht="16.5" customHeight="1">
      <c r="B59" s="50"/>
      <c r="C59" s="2017">
        <f>Riepilogo!D106</f>
        <v>0</v>
      </c>
      <c r="D59" s="2069"/>
      <c r="E59" s="931" t="s">
        <v>226</v>
      </c>
      <c r="F59" s="931">
        <v>0</v>
      </c>
      <c r="G59" s="931">
        <v>0</v>
      </c>
      <c r="H59" s="931">
        <v>0</v>
      </c>
      <c r="I59" s="945">
        <v>516457</v>
      </c>
      <c r="J59" s="946">
        <v>-516456</v>
      </c>
      <c r="K59" s="948">
        <v>0</v>
      </c>
      <c r="L59" s="931">
        <f>Riepilogo!AM106</f>
        <v>0</v>
      </c>
    </row>
    <row r="60" spans="2:12" s="10" customFormat="1" ht="6" customHeight="1">
      <c r="B60" s="50"/>
      <c r="C60" s="7"/>
      <c r="D60" s="6"/>
      <c r="E60" s="945"/>
      <c r="F60" s="923"/>
      <c r="G60" s="923"/>
      <c r="H60" s="923"/>
      <c r="I60" s="948"/>
      <c r="J60" s="946"/>
      <c r="K60" s="948"/>
      <c r="L60" s="948"/>
    </row>
    <row r="61" spans="2:12" ht="16.5" customHeight="1">
      <c r="B61" s="50"/>
      <c r="C61" s="2025" t="str">
        <f>Riepilogo!D40</f>
        <v>Giesse S.r.l. </v>
      </c>
      <c r="D61" s="2070"/>
      <c r="E61" s="945">
        <f>Riepilogo!Z40</f>
        <v>1500000</v>
      </c>
      <c r="F61" s="946">
        <f>J61</f>
        <v>-1499999</v>
      </c>
      <c r="G61" s="931">
        <v>0</v>
      </c>
      <c r="H61" s="945">
        <f>Riepilogo!AM40</f>
        <v>1</v>
      </c>
      <c r="I61" s="945">
        <v>1500000</v>
      </c>
      <c r="J61" s="946">
        <v>-1499999</v>
      </c>
      <c r="K61" s="948">
        <v>0</v>
      </c>
      <c r="L61" s="945">
        <f>Riepilogo!AM40</f>
        <v>1</v>
      </c>
    </row>
    <row r="62" spans="2:12" ht="6" customHeight="1">
      <c r="B62" s="50"/>
      <c r="C62" s="214"/>
      <c r="D62" s="516"/>
      <c r="E62" s="945"/>
      <c r="F62" s="932"/>
      <c r="G62" s="931"/>
      <c r="H62" s="945"/>
      <c r="I62" s="945"/>
      <c r="J62" s="945"/>
      <c r="K62" s="948"/>
      <c r="L62" s="945"/>
    </row>
    <row r="63" spans="2:12" ht="22.5" customHeight="1">
      <c r="B63" s="50"/>
      <c r="C63" s="2017" t="str">
        <f>Riepilogo!D42</f>
        <v>Nuove Energie S.r.l.</v>
      </c>
      <c r="D63" s="2069"/>
      <c r="E63" s="945">
        <f>Riepilogo!Z42</f>
        <v>800000</v>
      </c>
      <c r="F63" s="946">
        <f>Riepilogo!AI42+J37</f>
        <v>-270000</v>
      </c>
      <c r="G63" s="931">
        <v>0</v>
      </c>
      <c r="H63" s="945">
        <f>Riepilogo!AM42</f>
        <v>292000</v>
      </c>
      <c r="I63" s="931">
        <v>0</v>
      </c>
      <c r="J63" s="931">
        <v>0</v>
      </c>
      <c r="K63" s="931">
        <v>0</v>
      </c>
      <c r="L63" s="931">
        <v>0</v>
      </c>
    </row>
    <row r="64" spans="2:12" ht="6" customHeight="1">
      <c r="B64" s="50"/>
      <c r="C64" s="2017"/>
      <c r="D64" s="2069"/>
      <c r="E64" s="945"/>
      <c r="F64" s="932"/>
      <c r="G64" s="931"/>
      <c r="H64" s="945"/>
      <c r="I64" s="945"/>
      <c r="J64" s="945"/>
      <c r="K64" s="948"/>
      <c r="L64" s="945"/>
    </row>
    <row r="65" spans="2:12" ht="16.5" customHeight="1">
      <c r="B65" s="50"/>
      <c r="C65" s="2017" t="str">
        <f>Riepilogo!D53</f>
        <v>Bellelli Engineering S.r.l.</v>
      </c>
      <c r="D65" s="2069"/>
      <c r="E65" s="945">
        <f>Riepilogo!Z53</f>
        <v>1000000</v>
      </c>
      <c r="F65" s="931">
        <v>0</v>
      </c>
      <c r="G65" s="931">
        <v>0</v>
      </c>
      <c r="H65" s="945">
        <f>Riepilogo!AM53</f>
        <v>1</v>
      </c>
      <c r="I65" s="945">
        <v>1000000</v>
      </c>
      <c r="J65" s="948">
        <v>0</v>
      </c>
      <c r="K65" s="948">
        <v>0</v>
      </c>
      <c r="L65" s="945">
        <f>Riepilogo!AM53</f>
        <v>1</v>
      </c>
    </row>
    <row r="66" spans="2:12" s="10" customFormat="1" ht="6" customHeight="1">
      <c r="B66" s="50"/>
      <c r="C66" s="7"/>
      <c r="D66" s="6"/>
      <c r="E66" s="923"/>
      <c r="F66" s="931"/>
      <c r="G66" s="923"/>
      <c r="H66" s="923"/>
      <c r="I66" s="945"/>
      <c r="J66" s="646"/>
      <c r="K66" s="943"/>
      <c r="L66" s="943"/>
    </row>
    <row r="67" spans="2:12" s="10" customFormat="1" ht="6" customHeight="1">
      <c r="B67" s="1"/>
      <c r="C67" s="21"/>
      <c r="D67" s="22"/>
      <c r="E67" s="934"/>
      <c r="F67" s="934"/>
      <c r="G67" s="934"/>
      <c r="H67" s="934"/>
      <c r="I67" s="949"/>
      <c r="J67" s="949"/>
      <c r="K67" s="950"/>
      <c r="L67" s="949"/>
    </row>
    <row r="68" spans="2:12" ht="21" customHeight="1">
      <c r="B68" s="50"/>
      <c r="C68" s="30" t="s">
        <v>5</v>
      </c>
      <c r="D68" s="6"/>
      <c r="E68" s="944">
        <f>E5+E51</f>
        <v>11199959.74</v>
      </c>
      <c r="F68" s="939">
        <f>F5+F51</f>
        <v>-3748111.95</v>
      </c>
      <c r="G68" s="931">
        <f>G5+G51</f>
        <v>0</v>
      </c>
      <c r="H68" s="944">
        <f>H5+H51</f>
        <v>7986961.74</v>
      </c>
      <c r="I68" s="944">
        <f>I7+I13+I19+I51</f>
        <v>13015886</v>
      </c>
      <c r="J68" s="939">
        <f>J7+J13+J19+J51</f>
        <v>-4264568</v>
      </c>
      <c r="K68" s="931">
        <f>K5+K13+K19+K51</f>
        <v>0</v>
      </c>
      <c r="L68" s="951">
        <f>L7+L13+L19+L51</f>
        <v>8751318</v>
      </c>
    </row>
    <row r="69" spans="2:12" s="10" customFormat="1" ht="6" customHeight="1">
      <c r="B69" s="63"/>
      <c r="C69" s="26"/>
      <c r="D69" s="27"/>
      <c r="E69" s="27"/>
      <c r="F69" s="27"/>
      <c r="G69" s="27"/>
      <c r="H69" s="27"/>
      <c r="I69" s="28"/>
      <c r="J69" s="96"/>
      <c r="K69" s="29"/>
      <c r="L69" s="51"/>
    </row>
    <row r="70" spans="3:7" ht="14.25">
      <c r="C70" s="120"/>
      <c r="F70" s="845"/>
      <c r="G70" s="845"/>
    </row>
    <row r="71" spans="2:12" s="518" customFormat="1" ht="14.25">
      <c r="B71" s="445"/>
      <c r="C71" s="120"/>
      <c r="D71" s="1957" t="s">
        <v>211</v>
      </c>
      <c r="E71" s="2078">
        <f>E68+F68-H68</f>
        <v>-535113.9500000002</v>
      </c>
      <c r="F71" s="2078"/>
      <c r="G71" s="2078"/>
      <c r="H71" s="2078"/>
      <c r="I71" s="2078">
        <f>I68+J68-L68</f>
        <v>0</v>
      </c>
      <c r="J71" s="2078"/>
      <c r="K71" s="2078"/>
      <c r="L71" s="2078"/>
    </row>
    <row r="72" spans="2:12" ht="14.25">
      <c r="B72" s="445"/>
      <c r="C72" s="120"/>
      <c r="D72" s="1957"/>
      <c r="E72" s="1957" t="str">
        <f>IF(E71=0,"quadra","non quadra")</f>
        <v>non quadra</v>
      </c>
      <c r="F72" s="1957"/>
      <c r="G72" s="1957"/>
      <c r="H72" s="1957"/>
      <c r="I72" s="1957" t="str">
        <f>IF(I71=0,"quadra","non quadra")</f>
        <v>quadra</v>
      </c>
      <c r="J72" s="1957"/>
      <c r="K72" s="1957"/>
      <c r="L72" s="1957"/>
    </row>
    <row r="75" spans="9:11" ht="14.25">
      <c r="I75" s="2068"/>
      <c r="J75" s="2068"/>
      <c r="K75" s="2068"/>
    </row>
    <row r="77" spans="9:11" ht="14.25">
      <c r="I77" s="2068"/>
      <c r="J77" s="2068"/>
      <c r="K77" s="2068"/>
    </row>
    <row r="79" spans="10:12" ht="14.25">
      <c r="J79" s="2068"/>
      <c r="K79" s="2068"/>
      <c r="L79" s="2068"/>
    </row>
  </sheetData>
  <sheetProtection/>
  <mergeCells count="43">
    <mergeCell ref="E2:H2"/>
    <mergeCell ref="E71:H71"/>
    <mergeCell ref="E72:H72"/>
    <mergeCell ref="B2:D3"/>
    <mergeCell ref="C17:D17"/>
    <mergeCell ref="C53:D53"/>
    <mergeCell ref="C55:D55"/>
    <mergeCell ref="C35:D35"/>
    <mergeCell ref="C27:D27"/>
    <mergeCell ref="C37:D37"/>
    <mergeCell ref="O23:P23"/>
    <mergeCell ref="I72:L72"/>
    <mergeCell ref="I71:L71"/>
    <mergeCell ref="C19:D19"/>
    <mergeCell ref="C21:D21"/>
    <mergeCell ref="C23:D23"/>
    <mergeCell ref="C43:D43"/>
    <mergeCell ref="C25:D25"/>
    <mergeCell ref="C57:D57"/>
    <mergeCell ref="C51:D51"/>
    <mergeCell ref="I2:L2"/>
    <mergeCell ref="C5:D5"/>
    <mergeCell ref="C7:D7"/>
    <mergeCell ref="C41:D41"/>
    <mergeCell ref="C29:D29"/>
    <mergeCell ref="C39:D39"/>
    <mergeCell ref="C9:D9"/>
    <mergeCell ref="C11:D11"/>
    <mergeCell ref="C13:D13"/>
    <mergeCell ref="C15:D15"/>
    <mergeCell ref="C49:D49"/>
    <mergeCell ref="C47:D47"/>
    <mergeCell ref="C33:D33"/>
    <mergeCell ref="C31:D31"/>
    <mergeCell ref="I75:K75"/>
    <mergeCell ref="I77:K77"/>
    <mergeCell ref="J79:L79"/>
    <mergeCell ref="C65:D65"/>
    <mergeCell ref="C61:D61"/>
    <mergeCell ref="C59:D59"/>
    <mergeCell ref="D71:D72"/>
    <mergeCell ref="C63:D63"/>
    <mergeCell ref="C64:D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ignoredErrors>
    <ignoredError sqref="K68 L57 I19:J19" formula="1"/>
    <ignoredError sqref="G23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B1:M45"/>
  <sheetViews>
    <sheetView zoomScale="80" zoomScaleNormal="80" workbookViewId="0" topLeftCell="A16">
      <selection activeCell="M34" sqref="M34"/>
    </sheetView>
  </sheetViews>
  <sheetFormatPr defaultColWidth="9.140625" defaultRowHeight="12.75"/>
  <cols>
    <col min="1" max="1" width="12.140625" style="39" customWidth="1"/>
    <col min="2" max="2" width="2.57421875" style="65" customWidth="1"/>
    <col min="3" max="3" width="24.28125" style="39" customWidth="1"/>
    <col min="4" max="4" width="16.00390625" style="39" bestFit="1" customWidth="1"/>
    <col min="5" max="5" width="13.8515625" style="120" customWidth="1"/>
    <col min="6" max="6" width="13.28125" style="39" customWidth="1"/>
    <col min="7" max="7" width="12.00390625" style="39" customWidth="1"/>
    <col min="8" max="8" width="19.421875" style="39" customWidth="1"/>
    <col min="9" max="9" width="11.8515625" style="39" customWidth="1"/>
    <col min="10" max="10" width="7.57421875" style="39" customWidth="1"/>
    <col min="11" max="11" width="12.57421875" style="39" customWidth="1"/>
    <col min="12" max="12" width="12.421875" style="39" customWidth="1"/>
    <col min="13" max="13" width="12.28125" style="39" customWidth="1"/>
    <col min="14" max="14" width="13.140625" style="39" customWidth="1"/>
    <col min="15" max="15" width="15.8515625" style="39" customWidth="1"/>
    <col min="16" max="16384" width="9.140625" style="39" customWidth="1"/>
  </cols>
  <sheetData>
    <row r="1" spans="2:8" ht="16.5" customHeight="1">
      <c r="B1" s="445" t="s">
        <v>139</v>
      </c>
      <c r="C1" s="2079" t="s">
        <v>248</v>
      </c>
      <c r="D1" s="2079"/>
      <c r="E1" s="2079"/>
      <c r="F1" s="2079"/>
      <c r="G1" s="2079"/>
      <c r="H1" s="2079"/>
    </row>
    <row r="2" spans="2:13" ht="58.5" customHeight="1">
      <c r="B2" s="2005" t="s">
        <v>107</v>
      </c>
      <c r="C2" s="2007"/>
      <c r="D2" s="954" t="s">
        <v>96</v>
      </c>
      <c r="E2" s="193" t="s">
        <v>108</v>
      </c>
      <c r="F2" s="193" t="s">
        <v>109</v>
      </c>
      <c r="G2" s="955" t="s">
        <v>37</v>
      </c>
      <c r="H2" s="193" t="s">
        <v>40</v>
      </c>
      <c r="I2" s="97" t="s">
        <v>44</v>
      </c>
      <c r="J2" s="98" t="s">
        <v>110</v>
      </c>
      <c r="K2" s="37" t="s">
        <v>39</v>
      </c>
      <c r="L2" s="97" t="s">
        <v>42</v>
      </c>
      <c r="M2" s="99" t="s">
        <v>43</v>
      </c>
    </row>
    <row r="3" spans="2:13" s="10" customFormat="1" ht="6" customHeight="1">
      <c r="B3" s="178"/>
      <c r="C3" s="956"/>
      <c r="D3" s="196"/>
      <c r="E3" s="196"/>
      <c r="F3" s="196"/>
      <c r="G3" s="196"/>
      <c r="H3" s="470"/>
      <c r="I3" s="507"/>
      <c r="J3" s="3"/>
      <c r="K3" s="72"/>
      <c r="L3" s="507"/>
      <c r="M3" s="507"/>
    </row>
    <row r="4" spans="2:13" ht="16.5" customHeight="1">
      <c r="B4" s="118" t="s">
        <v>15</v>
      </c>
      <c r="C4" s="133" t="s">
        <v>111</v>
      </c>
      <c r="D4" s="957"/>
      <c r="E4" s="957"/>
      <c r="F4" s="957"/>
      <c r="G4" s="131">
        <v>0</v>
      </c>
      <c r="H4" s="131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</row>
    <row r="5" spans="2:13" s="10" customFormat="1" ht="6" customHeight="1">
      <c r="B5" s="175"/>
      <c r="C5" s="176"/>
      <c r="D5" s="134"/>
      <c r="E5" s="134"/>
      <c r="F5" s="134"/>
      <c r="G5" s="198"/>
      <c r="H5" s="473"/>
      <c r="I5" s="508"/>
      <c r="J5" s="28"/>
      <c r="K5" s="45"/>
      <c r="L5" s="508"/>
      <c r="M5" s="508"/>
    </row>
    <row r="6" spans="2:13" s="10" customFormat="1" ht="6" customHeight="1">
      <c r="B6" s="178"/>
      <c r="C6" s="179"/>
      <c r="D6" s="890"/>
      <c r="E6" s="890"/>
      <c r="F6" s="890"/>
      <c r="G6" s="196"/>
      <c r="H6" s="474"/>
      <c r="I6" s="509"/>
      <c r="J6" s="23"/>
      <c r="K6" s="72"/>
      <c r="L6" s="509"/>
      <c r="M6" s="509"/>
    </row>
    <row r="7" spans="2:13" ht="28.5" customHeight="1">
      <c r="B7" s="118" t="s">
        <v>17</v>
      </c>
      <c r="C7" s="133" t="s">
        <v>112</v>
      </c>
      <c r="D7" s="957"/>
      <c r="E7" s="957"/>
      <c r="F7" s="957"/>
      <c r="G7" s="131">
        <v>0</v>
      </c>
      <c r="H7" s="131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2:13" s="10" customFormat="1" ht="6" customHeight="1">
      <c r="B8" s="175"/>
      <c r="C8" s="176"/>
      <c r="D8" s="134"/>
      <c r="E8" s="134"/>
      <c r="F8" s="134"/>
      <c r="G8" s="198"/>
      <c r="H8" s="473"/>
      <c r="I8" s="508"/>
      <c r="J8" s="28"/>
      <c r="K8" s="45"/>
      <c r="L8" s="508"/>
      <c r="M8" s="508"/>
    </row>
    <row r="9" spans="2:13" s="10" customFormat="1" ht="6" customHeight="1">
      <c r="B9" s="178"/>
      <c r="C9" s="179"/>
      <c r="D9" s="890"/>
      <c r="E9" s="890"/>
      <c r="F9" s="890"/>
      <c r="G9" s="196"/>
      <c r="H9" s="477"/>
      <c r="I9" s="509"/>
      <c r="J9" s="23"/>
      <c r="K9" s="72"/>
      <c r="L9" s="509"/>
      <c r="M9" s="509"/>
    </row>
    <row r="10" spans="2:13" ht="28.5" customHeight="1">
      <c r="B10" s="118" t="s">
        <v>22</v>
      </c>
      <c r="C10" s="133" t="s">
        <v>113</v>
      </c>
      <c r="D10" s="957"/>
      <c r="E10" s="957"/>
      <c r="F10" s="957"/>
      <c r="G10" s="131"/>
      <c r="H10" s="131"/>
      <c r="I10" s="15"/>
      <c r="J10" s="15"/>
      <c r="K10" s="15"/>
      <c r="L10" s="15"/>
      <c r="M10" s="15"/>
    </row>
    <row r="11" spans="2:13" s="10" customFormat="1" ht="6" customHeight="1">
      <c r="B11" s="118"/>
      <c r="C11" s="121"/>
      <c r="D11" s="958"/>
      <c r="E11" s="958"/>
      <c r="F11" s="958"/>
      <c r="G11" s="958"/>
      <c r="H11" s="166"/>
      <c r="I11" s="513"/>
      <c r="J11" s="31"/>
      <c r="K11" s="32"/>
      <c r="L11" s="32"/>
      <c r="M11" s="33"/>
    </row>
    <row r="12" spans="2:13" ht="78" customHeight="1">
      <c r="B12" s="118"/>
      <c r="C12" s="100" t="str">
        <f>Riepilogo!D44</f>
        <v>Adaptica S.r.l.</v>
      </c>
      <c r="D12" s="101">
        <f>Riepilogo!Z44</f>
        <v>642816.74</v>
      </c>
      <c r="E12" s="131">
        <v>0</v>
      </c>
      <c r="F12" s="131">
        <v>0</v>
      </c>
      <c r="G12" s="84">
        <f>Riepilogo!AM44</f>
        <v>642816.74</v>
      </c>
      <c r="H12" s="102" t="str">
        <f>'PARTECIPAZIONI 9.1'!D26</f>
        <v>Padova, Via S. Marco 9/H</v>
      </c>
      <c r="I12" s="103" t="s">
        <v>47</v>
      </c>
      <c r="J12" s="104">
        <f>Riepilogo!G44*100</f>
        <v>21.17353458548488</v>
      </c>
      <c r="K12" s="104">
        <f>J12</f>
        <v>21.17353458548488</v>
      </c>
      <c r="L12" s="101">
        <f>'Dettaglio PN - Info per N.I.'!C17</f>
        <v>2081891</v>
      </c>
      <c r="M12" s="959">
        <f>'Dettaglio PN - Info per N.I.'!C16</f>
        <v>-1107318</v>
      </c>
    </row>
    <row r="13" spans="2:13" s="10" customFormat="1" ht="6" customHeight="1">
      <c r="B13" s="118"/>
      <c r="C13" s="121"/>
      <c r="D13" s="958"/>
      <c r="E13" s="958"/>
      <c r="F13" s="958"/>
      <c r="G13" s="958"/>
      <c r="H13" s="166"/>
      <c r="I13" s="513"/>
      <c r="J13" s="31"/>
      <c r="K13" s="32"/>
      <c r="L13" s="32"/>
      <c r="M13" s="33"/>
    </row>
    <row r="14" spans="2:13" ht="78" customHeight="1">
      <c r="B14" s="118"/>
      <c r="C14" s="168" t="str">
        <f>Riepilogo!D53</f>
        <v>Bellelli Engineering S.r.l.</v>
      </c>
      <c r="D14" s="101">
        <f>Riepilogo!Z53</f>
        <v>1000000</v>
      </c>
      <c r="E14" s="131">
        <v>0</v>
      </c>
      <c r="F14" s="131">
        <v>0</v>
      </c>
      <c r="G14" s="84">
        <f>Riepilogo!AM53</f>
        <v>1</v>
      </c>
      <c r="H14" s="102" t="s">
        <v>272</v>
      </c>
      <c r="I14" s="103" t="s">
        <v>47</v>
      </c>
      <c r="J14" s="104">
        <f>Riepilogo!G53*100</f>
        <v>21.996879875195006</v>
      </c>
      <c r="K14" s="104">
        <f>J14</f>
        <v>21.996879875195006</v>
      </c>
      <c r="L14" s="101">
        <f>'Dettaglio PN - Info per N.I.'!C150</f>
        <v>132780</v>
      </c>
      <c r="M14" s="101">
        <f>'Dettaglio PN - Info per N.I.'!C149</f>
        <v>-3067572</v>
      </c>
    </row>
    <row r="15" spans="2:13" s="10" customFormat="1" ht="6" customHeight="1">
      <c r="B15" s="118"/>
      <c r="C15" s="121"/>
      <c r="D15" s="958"/>
      <c r="E15" s="958"/>
      <c r="F15" s="958"/>
      <c r="G15" s="958"/>
      <c r="H15" s="166"/>
      <c r="I15" s="513"/>
      <c r="J15" s="31"/>
      <c r="K15" s="32"/>
      <c r="L15" s="32"/>
      <c r="M15" s="33"/>
    </row>
    <row r="16" spans="2:13" ht="78" customHeight="1">
      <c r="B16" s="118"/>
      <c r="C16" s="100" t="str">
        <f>Riepilogo!D10</f>
        <v>Cielle S.r.l.</v>
      </c>
      <c r="D16" s="101">
        <f>Riepilogo!Z10</f>
        <v>0</v>
      </c>
      <c r="E16" s="959">
        <f>'MERCH E.1'!F27</f>
        <v>-246112.95</v>
      </c>
      <c r="F16" s="131">
        <v>0</v>
      </c>
      <c r="G16" s="84">
        <f>Riepilogo!AM10</f>
        <v>0</v>
      </c>
      <c r="H16" s="102" t="str">
        <f>'PARTECIPAZIONI 9.1'!D28</f>
        <v>Breda di Piave (TV), Frazione Pero      Via Toniolo 6</v>
      </c>
      <c r="I16" s="103" t="s">
        <v>47</v>
      </c>
      <c r="J16" s="104">
        <f>Riepilogo!G10*100</f>
        <v>0</v>
      </c>
      <c r="K16" s="104">
        <f>J16</f>
        <v>0</v>
      </c>
      <c r="L16" s="101">
        <f>'Dettaglio PN - Info per N.I.'!C24</f>
        <v>1055455</v>
      </c>
      <c r="M16" s="101">
        <f>'Dettaglio PN - Info per N.I.'!C23</f>
        <v>21840</v>
      </c>
    </row>
    <row r="17" spans="2:13" ht="6" customHeight="1">
      <c r="B17" s="118"/>
      <c r="C17" s="100"/>
      <c r="D17" s="101"/>
      <c r="E17" s="959"/>
      <c r="F17" s="131"/>
      <c r="G17" s="84"/>
      <c r="H17" s="102"/>
      <c r="I17" s="103"/>
      <c r="J17" s="104"/>
      <c r="K17" s="104"/>
      <c r="L17" s="101"/>
      <c r="M17" s="101"/>
    </row>
    <row r="18" spans="2:13" ht="28.5">
      <c r="B18" s="118"/>
      <c r="C18" s="168" t="str">
        <f>Riepilogo!D12</f>
        <v>Develon S.r.l.</v>
      </c>
      <c r="D18" s="101">
        <f>Riepilogo!Z12</f>
        <v>2000000.0000000002</v>
      </c>
      <c r="E18" s="131">
        <v>0</v>
      </c>
      <c r="F18" s="131">
        <v>0</v>
      </c>
      <c r="G18" s="84">
        <f>Riepilogo!AM12</f>
        <v>2000000.0000000002</v>
      </c>
      <c r="H18" s="102" t="str">
        <f>'PARTECIPAZIONI 9.1'!D29</f>
        <v>Altavilla Vicentina (VI), Via Retrone 16</v>
      </c>
      <c r="I18" s="103" t="s">
        <v>47</v>
      </c>
      <c r="J18" s="104">
        <f>Riepilogo!G12*100</f>
        <v>32.99999954363784</v>
      </c>
      <c r="K18" s="104">
        <f>J18</f>
        <v>32.99999954363784</v>
      </c>
      <c r="L18" s="101">
        <f>'Dettaglio PN - Info per N.I.'!C36</f>
        <v>2615081</v>
      </c>
      <c r="M18" s="101">
        <f>'Dettaglio PN - Info per N.I.'!C31</f>
        <v>10470</v>
      </c>
    </row>
    <row r="19" spans="2:13" ht="5.25" customHeight="1">
      <c r="B19" s="118"/>
      <c r="C19" s="100"/>
      <c r="D19" s="101"/>
      <c r="E19" s="131"/>
      <c r="F19" s="131"/>
      <c r="G19" s="84"/>
      <c r="H19" s="102"/>
      <c r="I19" s="103"/>
      <c r="J19" s="104"/>
      <c r="K19" s="104"/>
      <c r="L19" s="101"/>
      <c r="M19" s="101"/>
    </row>
    <row r="20" spans="2:13" ht="78" customHeight="1">
      <c r="B20" s="118"/>
      <c r="C20" s="168" t="str">
        <f>Riepilogo!D14</f>
        <v>Garmont International S.r.l.</v>
      </c>
      <c r="D20" s="101">
        <f>Riepilogo!Z14</f>
        <v>0</v>
      </c>
      <c r="E20" s="131">
        <v>0</v>
      </c>
      <c r="F20" s="131">
        <v>0</v>
      </c>
      <c r="G20" s="84">
        <f>Riepilogo!AM14</f>
        <v>0</v>
      </c>
      <c r="H20" s="102" t="str">
        <f>'PARTECIPAZIONI 9.1'!D31</f>
        <v>Vedelago (TV), Via Del Lavoro 18</v>
      </c>
      <c r="I20" s="103" t="s">
        <v>47</v>
      </c>
      <c r="J20" s="104">
        <f>Riepilogo!G14*100</f>
        <v>0</v>
      </c>
      <c r="K20" s="104">
        <f>J20</f>
        <v>0</v>
      </c>
      <c r="L20" s="101">
        <f>'Dettaglio PN - Info per N.I.'!C44</f>
        <v>2467288</v>
      </c>
      <c r="M20" s="101">
        <f>'Dettaglio PN - Info per N.I.'!C43</f>
        <v>407569</v>
      </c>
    </row>
    <row r="21" spans="2:13" ht="6" customHeight="1">
      <c r="B21" s="118"/>
      <c r="C21" s="100"/>
      <c r="D21" s="101"/>
      <c r="E21" s="131"/>
      <c r="F21" s="131"/>
      <c r="G21" s="84"/>
      <c r="H21" s="102"/>
      <c r="I21" s="103"/>
      <c r="J21" s="104"/>
      <c r="K21" s="104"/>
      <c r="L21" s="101"/>
      <c r="M21" s="101"/>
    </row>
    <row r="22" spans="2:13" ht="78" customHeight="1">
      <c r="B22" s="118"/>
      <c r="C22" s="168" t="str">
        <f>Riepilogo!D40</f>
        <v>Giesse S.r.l. </v>
      </c>
      <c r="D22" s="101">
        <f>Riepilogo!Z40</f>
        <v>1500000</v>
      </c>
      <c r="E22" s="959">
        <f>'MERCH E.1'!F61</f>
        <v>-1499999</v>
      </c>
      <c r="F22" s="131">
        <v>0</v>
      </c>
      <c r="G22" s="84">
        <f>+Riepilogo!AM40</f>
        <v>1</v>
      </c>
      <c r="H22" s="102" t="s">
        <v>233</v>
      </c>
      <c r="I22" s="103" t="s">
        <v>47</v>
      </c>
      <c r="J22" s="104">
        <f>Riepilogo!G40*100</f>
        <v>20</v>
      </c>
      <c r="K22" s="104">
        <f>J22</f>
        <v>20</v>
      </c>
      <c r="L22" s="101">
        <v>6667620</v>
      </c>
      <c r="M22" s="959">
        <v>-604309</v>
      </c>
    </row>
    <row r="23" spans="2:13" s="10" customFormat="1" ht="6" customHeight="1">
      <c r="B23" s="118"/>
      <c r="C23" s="121"/>
      <c r="D23" s="958"/>
      <c r="E23" s="958"/>
      <c r="F23" s="958"/>
      <c r="G23" s="958"/>
      <c r="H23" s="166"/>
      <c r="I23" s="513"/>
      <c r="J23" s="31"/>
      <c r="K23" s="32"/>
      <c r="L23" s="165"/>
      <c r="M23" s="166"/>
    </row>
    <row r="24" spans="2:13" ht="78" customHeight="1">
      <c r="B24" s="118"/>
      <c r="C24" s="168" t="str">
        <f>Riepilogo!D16</f>
        <v>Interplanet S.r.l.</v>
      </c>
      <c r="D24" s="101">
        <f>Riepilogo!Z16</f>
        <v>750000</v>
      </c>
      <c r="E24" s="131">
        <v>0</v>
      </c>
      <c r="F24" s="131">
        <v>0</v>
      </c>
      <c r="G24" s="84">
        <f>Riepilogo!AM16</f>
        <v>750000</v>
      </c>
      <c r="H24" s="102" t="str">
        <f>'PARTECIPAZIONI 9.1'!D33</f>
        <v>Montecchio Maggiore (VI), Via Madonnetta 215 INT4</v>
      </c>
      <c r="I24" s="103" t="s">
        <v>47</v>
      </c>
      <c r="J24" s="104">
        <f>Riepilogo!G16*100</f>
        <v>45.00004583329514</v>
      </c>
      <c r="K24" s="104">
        <f>J24</f>
        <v>45.00004583329514</v>
      </c>
      <c r="L24" s="101">
        <f>'Dettaglio PN - Info per N.I.'!C51</f>
        <v>1067142</v>
      </c>
      <c r="M24" s="959">
        <f>'Dettaglio PN - Info per N.I.'!C50</f>
        <v>88748</v>
      </c>
    </row>
    <row r="25" spans="2:13" s="10" customFormat="1" ht="6" customHeight="1">
      <c r="B25" s="118"/>
      <c r="C25" s="121"/>
      <c r="D25" s="958"/>
      <c r="E25" s="958"/>
      <c r="F25" s="958"/>
      <c r="G25" s="958"/>
      <c r="H25" s="166"/>
      <c r="I25" s="513"/>
      <c r="J25" s="31"/>
      <c r="K25" s="32"/>
      <c r="L25" s="165"/>
      <c r="M25" s="166"/>
    </row>
    <row r="26" spans="2:13" ht="78" customHeight="1">
      <c r="B26" s="118"/>
      <c r="C26" s="100" t="str">
        <f>Riepilogo!D18</f>
        <v>Neurimpulse S.r.l.</v>
      </c>
      <c r="D26" s="101">
        <f>Riepilogo!Z18</f>
        <v>600000</v>
      </c>
      <c r="E26" s="131">
        <v>0</v>
      </c>
      <c r="F26" s="131">
        <v>0</v>
      </c>
      <c r="G26" s="84">
        <f>Riepilogo!AM18</f>
        <v>600000</v>
      </c>
      <c r="H26" s="102" t="str">
        <f>'PARTECIPAZIONI 9.1'!D35</f>
        <v>Rubano (PD), Via Pitagora 15</v>
      </c>
      <c r="I26" s="103" t="s">
        <v>47</v>
      </c>
      <c r="J26" s="104">
        <f>Riepilogo!G18*100</f>
        <v>30</v>
      </c>
      <c r="K26" s="104">
        <f>J26</f>
        <v>30</v>
      </c>
      <c r="L26" s="101">
        <f>'Dettaglio PN - Info per N.I.'!C58</f>
        <v>1589678</v>
      </c>
      <c r="M26" s="959">
        <f>'Dettaglio PN - Info per N.I.'!C57</f>
        <v>-81308</v>
      </c>
    </row>
    <row r="27" spans="2:13" s="10" customFormat="1" ht="6" customHeight="1">
      <c r="B27" s="118"/>
      <c r="C27" s="121"/>
      <c r="D27" s="958"/>
      <c r="E27" s="958"/>
      <c r="F27" s="958"/>
      <c r="G27" s="958"/>
      <c r="H27" s="166"/>
      <c r="I27" s="513"/>
      <c r="J27" s="31"/>
      <c r="K27" s="32"/>
      <c r="L27" s="165"/>
      <c r="M27" s="166"/>
    </row>
    <row r="28" spans="2:13" ht="78" customHeight="1">
      <c r="B28" s="118"/>
      <c r="C28" s="100" t="str">
        <f>Riepilogo!D42</f>
        <v>Nuove Energie S.r.l.</v>
      </c>
      <c r="D28" s="101">
        <f>Riepilogo!Z42</f>
        <v>800000</v>
      </c>
      <c r="E28" s="959">
        <f>'MERCH E.1'!F63</f>
        <v>-270000</v>
      </c>
      <c r="F28" s="131">
        <v>0</v>
      </c>
      <c r="G28" s="84">
        <f>Riepilogo!AM42</f>
        <v>292000</v>
      </c>
      <c r="H28" s="102" t="s">
        <v>593</v>
      </c>
      <c r="I28" s="103" t="s">
        <v>47</v>
      </c>
      <c r="J28" s="104">
        <f>Riepilogo!G42*100</f>
        <v>38</v>
      </c>
      <c r="K28" s="104">
        <f>J28</f>
        <v>38</v>
      </c>
      <c r="L28" s="101">
        <f>'Dettaglio PN - Info per N.I.'!C66</f>
        <v>1883635</v>
      </c>
      <c r="M28" s="959">
        <f>'Dettaglio PN - Info per N.I.'!C65</f>
        <v>1947</v>
      </c>
    </row>
    <row r="29" spans="2:13" s="10" customFormat="1" ht="6" customHeight="1">
      <c r="B29" s="118"/>
      <c r="C29" s="121"/>
      <c r="D29" s="958"/>
      <c r="E29" s="958"/>
      <c r="F29" s="958"/>
      <c r="G29" s="958"/>
      <c r="H29" s="166"/>
      <c r="I29" s="513"/>
      <c r="J29" s="31"/>
      <c r="K29" s="32"/>
      <c r="L29" s="165"/>
      <c r="M29" s="166"/>
    </row>
    <row r="30" spans="2:13" ht="78" customHeight="1">
      <c r="B30" s="118"/>
      <c r="C30" s="168" t="str">
        <f>Riepilogo!D20</f>
        <v>Officina Stellare S.r.l.</v>
      </c>
      <c r="D30" s="101">
        <f>Riepilogo!Z20</f>
        <v>500000</v>
      </c>
      <c r="E30" s="131">
        <v>0</v>
      </c>
      <c r="F30" s="131">
        <v>0</v>
      </c>
      <c r="G30" s="84">
        <f>Riepilogo!AM20</f>
        <v>500000</v>
      </c>
      <c r="H30" s="102" t="str">
        <f>'PARTECIPAZIONI 9.1'!D37</f>
        <v>Sarcedo (VI), Via della Tecnica 87/89</v>
      </c>
      <c r="I30" s="103" t="s">
        <v>47</v>
      </c>
      <c r="J30" s="104">
        <f>Riepilogo!G20*100</f>
        <v>35.00004062497461</v>
      </c>
      <c r="K30" s="104">
        <f>J30</f>
        <v>35.00004062497461</v>
      </c>
      <c r="L30" s="101">
        <f>'Dettaglio PN - Info per N.I.'!C73</f>
        <v>1056064</v>
      </c>
      <c r="M30" s="101">
        <f>'Dettaglio PN - Info per N.I.'!C72</f>
        <v>69242</v>
      </c>
    </row>
    <row r="31" spans="2:13" s="10" customFormat="1" ht="6" customHeight="1">
      <c r="B31" s="118"/>
      <c r="C31" s="121"/>
      <c r="D31" s="958"/>
      <c r="E31" s="958"/>
      <c r="F31" s="958"/>
      <c r="G31" s="958"/>
      <c r="H31" s="166"/>
      <c r="I31" s="513"/>
      <c r="J31" s="31"/>
      <c r="K31" s="32"/>
      <c r="L31" s="165"/>
      <c r="M31" s="166"/>
    </row>
    <row r="32" spans="2:13" ht="78" customHeight="1">
      <c r="B32" s="118"/>
      <c r="C32" s="168" t="str">
        <f>Riepilogo!D22</f>
        <v>OTS S.r.l.</v>
      </c>
      <c r="D32" s="101">
        <f>Riepilogo!Z22</f>
        <v>800000</v>
      </c>
      <c r="E32" s="131">
        <v>0</v>
      </c>
      <c r="F32" s="131">
        <v>0</v>
      </c>
      <c r="G32" s="84">
        <f>Riepilogo!AM22</f>
        <v>800000</v>
      </c>
      <c r="H32" s="102" t="str">
        <f>'PARTECIPAZIONI 9.1'!D39</f>
        <v>Polverara (PD), Via dell'Artigianato 5/2</v>
      </c>
      <c r="I32" s="103" t="s">
        <v>47</v>
      </c>
      <c r="J32" s="104">
        <f>Riepilogo!G22*100</f>
        <v>32.885905879464886</v>
      </c>
      <c r="K32" s="104">
        <f>J32</f>
        <v>32.885905879464886</v>
      </c>
      <c r="L32" s="101">
        <f>'Dettaglio PN - Info per N.I.'!C81</f>
        <v>2075481</v>
      </c>
      <c r="M32" s="959">
        <f>'PARTECIPAZIONI 9.3'!M22</f>
        <v>-737156</v>
      </c>
    </row>
    <row r="33" spans="2:13" s="10" customFormat="1" ht="6" customHeight="1">
      <c r="B33" s="118"/>
      <c r="C33" s="121"/>
      <c r="D33" s="958"/>
      <c r="E33" s="958"/>
      <c r="F33" s="958"/>
      <c r="G33" s="958"/>
      <c r="H33" s="166"/>
      <c r="I33" s="513"/>
      <c r="J33" s="31"/>
      <c r="K33" s="32"/>
      <c r="L33" s="165"/>
      <c r="M33" s="166"/>
    </row>
    <row r="34" spans="2:13" ht="78" customHeight="1">
      <c r="B34" s="118"/>
      <c r="C34" s="168" t="str">
        <f>Riepilogo!D24</f>
        <v>SI14 S.p.A.</v>
      </c>
      <c r="D34" s="101">
        <f>Riepilogo!Z24</f>
        <v>0</v>
      </c>
      <c r="E34" s="959">
        <f>'MERCH E.1'!F43</f>
        <v>-1042000</v>
      </c>
      <c r="F34" s="131">
        <v>0</v>
      </c>
      <c r="G34" s="84">
        <f>Riepilogo!AM24</f>
        <v>0</v>
      </c>
      <c r="H34" s="102" t="str">
        <f>'PARTECIPAZIONI 9.1'!D41</f>
        <v>Padova (PD) Via N. Tommaseo 77 </v>
      </c>
      <c r="I34" s="103" t="s">
        <v>47</v>
      </c>
      <c r="J34" s="104">
        <f>Riepilogo!G24*100</f>
        <v>0</v>
      </c>
      <c r="K34" s="104">
        <f>J34</f>
        <v>0</v>
      </c>
      <c r="L34" s="101">
        <f>'Dettaglio PN - Info per N.I.'!C93</f>
        <v>1087256</v>
      </c>
      <c r="M34" s="959">
        <f>'Dettaglio PN - Info per N.I.'!C92</f>
        <v>-2650285</v>
      </c>
    </row>
    <row r="35" spans="2:13" s="10" customFormat="1" ht="6" customHeight="1">
      <c r="B35" s="118"/>
      <c r="C35" s="121"/>
      <c r="D35" s="958"/>
      <c r="E35" s="958"/>
      <c r="F35" s="958"/>
      <c r="G35" s="958"/>
      <c r="H35" s="166"/>
      <c r="I35" s="513"/>
      <c r="J35" s="31"/>
      <c r="K35" s="32"/>
      <c r="L35" s="165"/>
      <c r="M35" s="166"/>
    </row>
    <row r="36" spans="2:13" ht="78" customHeight="1">
      <c r="B36" s="118"/>
      <c r="C36" s="168" t="str">
        <f>Riepilogo!D46</f>
        <v>Walking Pipe S.p.A. in liquidazione</v>
      </c>
      <c r="D36" s="101">
        <f>Riepilogo!Z46</f>
        <v>800000</v>
      </c>
      <c r="E36" s="959">
        <f>'MERCH E.1'!F45</f>
        <v>-310000</v>
      </c>
      <c r="F36" s="131">
        <v>0</v>
      </c>
      <c r="G36" s="84">
        <f>Riepilogo!AM46</f>
        <v>1</v>
      </c>
      <c r="H36" s="102" t="str">
        <f>'PARTECIPAZIONI 9.1'!D43</f>
        <v>Villadose (RO) Via Zona Industriale 74/A</v>
      </c>
      <c r="I36" s="103" t="s">
        <v>47</v>
      </c>
      <c r="J36" s="104">
        <f>Riepilogo!G46*100</f>
        <v>39.794065709951006</v>
      </c>
      <c r="K36" s="104">
        <f>J36</f>
        <v>39.794065709951006</v>
      </c>
      <c r="L36" s="101">
        <f>'Dettaglio PN - Info per N.I.'!C109</f>
        <v>1558404</v>
      </c>
      <c r="M36" s="959">
        <f>'Dettaglio PN - Info per N.I.'!C108</f>
        <v>-420616</v>
      </c>
    </row>
    <row r="37" spans="2:13" s="10" customFormat="1" ht="6" customHeight="1">
      <c r="B37" s="118"/>
      <c r="C37" s="121"/>
      <c r="D37" s="958"/>
      <c r="E37" s="958"/>
      <c r="F37" s="958"/>
      <c r="G37" s="958"/>
      <c r="H37" s="166"/>
      <c r="I37" s="513"/>
      <c r="J37" s="31"/>
      <c r="K37" s="32"/>
      <c r="L37" s="165"/>
      <c r="M37" s="166"/>
    </row>
    <row r="38" spans="2:13" ht="78" customHeight="1">
      <c r="B38" s="118"/>
      <c r="C38" s="100" t="str">
        <f>Riepilogo!D28</f>
        <v>Xeptagen S.p.A.</v>
      </c>
      <c r="D38" s="101">
        <f>Riepilogo!Z28</f>
        <v>1107143</v>
      </c>
      <c r="E38" s="959">
        <f>'MERCH E.1'!F47</f>
        <v>-380000</v>
      </c>
      <c r="F38" s="131">
        <v>0</v>
      </c>
      <c r="G38" s="84">
        <f>Riepilogo!AM28</f>
        <v>464143</v>
      </c>
      <c r="H38" s="102" t="str">
        <f>'PARTECIPAZIONI 9.1'!D45</f>
        <v>Venezia, Via delle Industrie 9</v>
      </c>
      <c r="I38" s="103" t="s">
        <v>47</v>
      </c>
      <c r="J38" s="104">
        <f>Riepilogo!G28*100</f>
        <v>21.428620968101498</v>
      </c>
      <c r="K38" s="104">
        <f>J38</f>
        <v>21.428620968101498</v>
      </c>
      <c r="L38" s="101">
        <f>'Dettaglio PN - Info per N.I.'!C116</f>
        <v>164714</v>
      </c>
      <c r="M38" s="959">
        <f>'Dettaglio PN - Info per N.I.'!C115</f>
        <v>-204435</v>
      </c>
    </row>
    <row r="39" spans="2:13" s="10" customFormat="1" ht="6" customHeight="1">
      <c r="B39" s="118"/>
      <c r="C39" s="121"/>
      <c r="D39" s="958"/>
      <c r="E39" s="958"/>
      <c r="F39" s="958"/>
      <c r="G39" s="958"/>
      <c r="H39" s="166"/>
      <c r="I39" s="513"/>
      <c r="J39" s="31"/>
      <c r="K39" s="32"/>
      <c r="L39" s="165"/>
      <c r="M39" s="166"/>
    </row>
    <row r="40" spans="2:13" ht="78" customHeight="1">
      <c r="B40" s="118"/>
      <c r="C40" s="168" t="str">
        <f>Riepilogo!D30</f>
        <v>Zen Fonderie S.r.l.</v>
      </c>
      <c r="D40" s="101">
        <f>Riepilogo!Z30</f>
        <v>700000</v>
      </c>
      <c r="E40" s="131">
        <v>0</v>
      </c>
      <c r="F40" s="131">
        <v>0</v>
      </c>
      <c r="G40" s="84">
        <f>Riepilogo!AM30</f>
        <v>700000</v>
      </c>
      <c r="H40" s="102" t="str">
        <f>'PARTECIPAZIONI 9.1'!D47</f>
        <v>Albignasego (PD), Via Marco Polo 3</v>
      </c>
      <c r="I40" s="103" t="s">
        <v>47</v>
      </c>
      <c r="J40" s="104">
        <f>Riepilogo!G30*100</f>
        <v>28.500121414888163</v>
      </c>
      <c r="K40" s="104">
        <f>J40</f>
        <v>28.500121414888163</v>
      </c>
      <c r="L40" s="101">
        <f>'Dettaglio PN - Info per N.I.'!C123</f>
        <v>2454800</v>
      </c>
      <c r="M40" s="101">
        <f>'Dettaglio PN - Info per N.I.'!C122</f>
        <v>143564</v>
      </c>
    </row>
    <row r="41" spans="2:13" s="10" customFormat="1" ht="6" customHeight="1">
      <c r="B41" s="63"/>
      <c r="C41" s="26"/>
      <c r="D41" s="41"/>
      <c r="E41" s="134"/>
      <c r="F41" s="41"/>
      <c r="G41" s="41"/>
      <c r="H41" s="515"/>
      <c r="I41" s="515"/>
      <c r="J41" s="28"/>
      <c r="K41" s="45"/>
      <c r="L41" s="515"/>
      <c r="M41" s="515"/>
    </row>
    <row r="43" spans="3:12" ht="61.5" customHeight="1">
      <c r="C43" s="2043" t="s">
        <v>603</v>
      </c>
      <c r="D43" s="2043"/>
      <c r="E43" s="2043"/>
      <c r="F43" s="2043"/>
      <c r="G43" s="2043"/>
      <c r="H43" s="2043"/>
      <c r="I43" s="2043"/>
      <c r="J43" s="2043"/>
      <c r="K43" s="2043"/>
      <c r="L43" s="2043"/>
    </row>
    <row r="45" ht="14.25">
      <c r="G45" s="120"/>
    </row>
  </sheetData>
  <sheetProtection/>
  <mergeCells count="3">
    <mergeCell ref="B2:C2"/>
    <mergeCell ref="C1:H1"/>
    <mergeCell ref="C43:L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1:F31"/>
  <sheetViews>
    <sheetView zoomScale="90" zoomScaleNormal="90" zoomScalePageLayoutView="0" workbookViewId="0" topLeftCell="A1">
      <selection activeCell="G50" sqref="G50"/>
    </sheetView>
  </sheetViews>
  <sheetFormatPr defaultColWidth="9.140625" defaultRowHeight="12.75"/>
  <cols>
    <col min="1" max="1" width="4.00390625" style="12" customWidth="1"/>
    <col min="2" max="2" width="5.140625" style="12" customWidth="1"/>
    <col min="3" max="3" width="9.421875" style="12" bestFit="1" customWidth="1"/>
    <col min="4" max="4" width="66.8515625" style="12" customWidth="1"/>
    <col min="5" max="5" width="29.57421875" style="35" customWidth="1"/>
    <col min="6" max="16384" width="9.140625" style="12" customWidth="1"/>
  </cols>
  <sheetData>
    <row r="1" spans="2:5" s="39" customFormat="1" ht="14.25">
      <c r="B1" s="414" t="s">
        <v>262</v>
      </c>
      <c r="C1" s="414"/>
      <c r="D1" s="414"/>
      <c r="E1" s="191"/>
    </row>
    <row r="2" spans="2:5" ht="37.5" customHeight="1">
      <c r="B2" s="1987"/>
      <c r="C2" s="1987"/>
      <c r="D2" s="1987"/>
      <c r="E2" s="105" t="s">
        <v>114</v>
      </c>
    </row>
    <row r="3" spans="2:5" ht="6" customHeight="1">
      <c r="B3" s="1"/>
      <c r="C3" s="2"/>
      <c r="D3" s="3"/>
      <c r="E3" s="4"/>
    </row>
    <row r="4" spans="2:6" ht="16.5" customHeight="1">
      <c r="B4" s="80" t="s">
        <v>15</v>
      </c>
      <c r="C4" s="20" t="s">
        <v>16</v>
      </c>
      <c r="D4" s="6"/>
      <c r="E4" s="62">
        <f>Riepilogo!AC44+Riepilogo!AC10+Riepilogo!AC14+Riepilogo!AC16+Riepilogo!AC18+Riepilogo!AC42+Riepilogo!AC20+Riepilogo!AC22+Riepilogo!AC24+Riepilogo!AC46+Riepilogo!AC28+Riepilogo!AC30+Riepilogo!AC40+Riepilogo!AC53</f>
        <v>7655318.22</v>
      </c>
      <c r="F4" s="144"/>
    </row>
    <row r="5" spans="2:5" ht="6" customHeight="1">
      <c r="B5" s="63"/>
      <c r="C5" s="26"/>
      <c r="D5" s="27"/>
      <c r="E5" s="28"/>
    </row>
    <row r="6" spans="2:5" ht="6" customHeight="1">
      <c r="B6" s="1"/>
      <c r="C6" s="21"/>
      <c r="D6" s="22"/>
      <c r="E6" s="42"/>
    </row>
    <row r="7" spans="2:6" ht="16.5" customHeight="1">
      <c r="B7" s="171" t="s">
        <v>17</v>
      </c>
      <c r="C7" s="172" t="s">
        <v>18</v>
      </c>
      <c r="D7" s="173"/>
      <c r="E7" s="169">
        <f>SUM(E8:E14)</f>
        <v>2000000.0000000002</v>
      </c>
      <c r="F7" s="144"/>
    </row>
    <row r="8" spans="2:5" ht="6" customHeight="1">
      <c r="B8" s="118"/>
      <c r="C8" s="121"/>
      <c r="D8" s="119"/>
      <c r="E8" s="122"/>
    </row>
    <row r="9" spans="2:5" ht="16.5" customHeight="1">
      <c r="B9" s="118"/>
      <c r="C9" s="121" t="s">
        <v>52</v>
      </c>
      <c r="D9" s="119"/>
      <c r="E9" s="159">
        <f>Riepilogo!Z12+Riepilogo!AD22</f>
        <v>2000000.0000000002</v>
      </c>
    </row>
    <row r="10" spans="2:5" ht="6" customHeight="1">
      <c r="B10" s="118"/>
      <c r="C10" s="121"/>
      <c r="D10" s="119"/>
      <c r="E10" s="122"/>
    </row>
    <row r="11" spans="2:5" ht="16.5" customHeight="1">
      <c r="B11" s="118"/>
      <c r="C11" s="121" t="s">
        <v>60</v>
      </c>
      <c r="D11" s="119"/>
      <c r="E11" s="174">
        <v>0</v>
      </c>
    </row>
    <row r="12" spans="2:5" ht="6" customHeight="1">
      <c r="B12" s="118"/>
      <c r="C12" s="121"/>
      <c r="D12" s="119"/>
      <c r="E12" s="122"/>
    </row>
    <row r="13" spans="2:5" ht="16.5" customHeight="1">
      <c r="B13" s="118"/>
      <c r="C13" s="121" t="s">
        <v>115</v>
      </c>
      <c r="D13" s="119"/>
      <c r="E13" s="174">
        <v>0</v>
      </c>
    </row>
    <row r="14" spans="2:5" ht="6" customHeight="1">
      <c r="B14" s="175"/>
      <c r="C14" s="176"/>
      <c r="D14" s="177"/>
      <c r="E14" s="128"/>
    </row>
    <row r="15" spans="2:5" ht="6" customHeight="1">
      <c r="B15" s="178"/>
      <c r="C15" s="179"/>
      <c r="D15" s="180"/>
      <c r="E15" s="84"/>
    </row>
    <row r="16" spans="2:5" ht="16.5" customHeight="1">
      <c r="B16" s="171" t="s">
        <v>22</v>
      </c>
      <c r="C16" s="172" t="s">
        <v>23</v>
      </c>
      <c r="D16" s="173"/>
      <c r="E16" s="181">
        <f>SUM(E17:E23)</f>
        <v>0</v>
      </c>
    </row>
    <row r="17" spans="2:5" ht="6" customHeight="1">
      <c r="B17" s="118"/>
      <c r="C17" s="121"/>
      <c r="D17" s="119"/>
      <c r="E17" s="122"/>
    </row>
    <row r="18" spans="2:5" ht="16.5" customHeight="1">
      <c r="B18" s="118"/>
      <c r="C18" s="121" t="s">
        <v>51</v>
      </c>
      <c r="D18" s="119"/>
      <c r="E18" s="170">
        <v>0</v>
      </c>
    </row>
    <row r="19" spans="2:5" ht="6" customHeight="1">
      <c r="B19" s="118"/>
      <c r="C19" s="121"/>
      <c r="D19" s="119"/>
      <c r="E19" s="122"/>
    </row>
    <row r="20" spans="2:6" ht="16.5" customHeight="1">
      <c r="B20" s="118"/>
      <c r="C20" s="121" t="s">
        <v>61</v>
      </c>
      <c r="D20" s="119"/>
      <c r="E20" s="170">
        <f>Riepilogo!AI24+Riepilogo!AI46+Riepilogo!AI28+Riepilogo!AI42</f>
        <v>0</v>
      </c>
      <c r="F20" s="144"/>
    </row>
    <row r="21" spans="2:5" ht="6" customHeight="1">
      <c r="B21" s="118"/>
      <c r="C21" s="121"/>
      <c r="D21" s="119"/>
      <c r="E21" s="122"/>
    </row>
    <row r="22" spans="2:5" ht="16.5" customHeight="1">
      <c r="B22" s="118"/>
      <c r="C22" s="121" t="s">
        <v>62</v>
      </c>
      <c r="D22" s="119"/>
      <c r="E22" s="174">
        <v>0</v>
      </c>
    </row>
    <row r="23" spans="2:5" ht="6" customHeight="1">
      <c r="B23" s="63"/>
      <c r="C23" s="26"/>
      <c r="D23" s="27"/>
      <c r="E23" s="51"/>
    </row>
    <row r="24" spans="2:5" ht="16.5" customHeight="1">
      <c r="B24" s="92" t="s">
        <v>27</v>
      </c>
      <c r="C24" s="2080" t="s">
        <v>28</v>
      </c>
      <c r="D24" s="2081"/>
      <c r="E24" s="624">
        <f>E4+E7+E16</f>
        <v>9655318.22</v>
      </c>
    </row>
    <row r="25" ht="14.25">
      <c r="C25" s="142"/>
    </row>
    <row r="27" spans="2:6" ht="14.25">
      <c r="B27" s="142"/>
      <c r="C27" s="142"/>
      <c r="D27" s="1957" t="s">
        <v>211</v>
      </c>
      <c r="E27" s="972">
        <f>E24-(Riepilogo!AM32+Riepilogo!AM48+Riepilogo!AM55+Riepilogo!AM107)</f>
        <v>2005635.5700000003</v>
      </c>
      <c r="F27" s="142"/>
    </row>
    <row r="28" spans="2:6" ht="14.25">
      <c r="B28" s="142"/>
      <c r="C28" s="142"/>
      <c r="D28" s="1957"/>
      <c r="E28" s="973" t="str">
        <f>IF(E27=0,"quadra","non quadra")</f>
        <v>non quadra</v>
      </c>
      <c r="F28" s="142"/>
    </row>
    <row r="31" ht="14.25">
      <c r="E31" s="524"/>
    </row>
  </sheetData>
  <sheetProtection/>
  <mergeCells count="3">
    <mergeCell ref="B2:D2"/>
    <mergeCell ref="C24:D24"/>
    <mergeCell ref="D27:D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B1:M21"/>
  <sheetViews>
    <sheetView zoomScale="90" zoomScaleNormal="90" zoomScalePageLayoutView="0" workbookViewId="0" topLeftCell="B1">
      <selection activeCell="B1" sqref="B1:E1"/>
    </sheetView>
  </sheetViews>
  <sheetFormatPr defaultColWidth="9.140625" defaultRowHeight="12.75"/>
  <cols>
    <col min="1" max="7" width="9.140625" style="39" customWidth="1"/>
    <col min="8" max="9" width="20.421875" style="65" customWidth="1"/>
    <col min="10" max="10" width="15.421875" style="65" customWidth="1"/>
    <col min="11" max="16384" width="9.140625" style="39" customWidth="1"/>
  </cols>
  <sheetData>
    <row r="1" spans="2:5" ht="14.25">
      <c r="B1" s="2088" t="s">
        <v>249</v>
      </c>
      <c r="C1" s="2088"/>
      <c r="D1" s="2088"/>
      <c r="E1" s="2088"/>
    </row>
    <row r="2" spans="2:13" ht="46.5" customHeight="1">
      <c r="B2" s="1950" t="s">
        <v>116</v>
      </c>
      <c r="C2" s="1951"/>
      <c r="D2" s="1952"/>
      <c r="E2" s="1950" t="s">
        <v>117</v>
      </c>
      <c r="F2" s="1951"/>
      <c r="G2" s="1952"/>
      <c r="H2" s="182" t="s">
        <v>594</v>
      </c>
      <c r="I2" s="182" t="s">
        <v>401</v>
      </c>
      <c r="J2" s="106" t="s">
        <v>118</v>
      </c>
      <c r="K2" s="1950" t="s">
        <v>119</v>
      </c>
      <c r="L2" s="1951"/>
      <c r="M2" s="1952"/>
    </row>
    <row r="3" spans="2:13" s="10" customFormat="1" ht="6" customHeight="1">
      <c r="B3" s="525"/>
      <c r="C3" s="21"/>
      <c r="D3" s="526"/>
      <c r="E3" s="525"/>
      <c r="F3" s="21"/>
      <c r="G3" s="526"/>
      <c r="H3" s="509"/>
      <c r="I3" s="509"/>
      <c r="J3" s="466"/>
      <c r="K3" s="525"/>
      <c r="L3" s="21"/>
      <c r="M3" s="526"/>
    </row>
    <row r="4" spans="2:13" ht="57" customHeight="1">
      <c r="B4" s="2082" t="str">
        <f>Riepilogo!D112</f>
        <v>Finest S.p.A.</v>
      </c>
      <c r="C4" s="2083" t="s">
        <v>120</v>
      </c>
      <c r="D4" s="2084"/>
      <c r="E4" s="2010" t="s">
        <v>121</v>
      </c>
      <c r="F4" s="2086"/>
      <c r="G4" s="2011"/>
      <c r="H4" s="14">
        <f>Riepilogo!I112</f>
        <v>2996733</v>
      </c>
      <c r="I4" s="14">
        <v>2996733</v>
      </c>
      <c r="J4" s="108">
        <v>1</v>
      </c>
      <c r="K4" s="2010" t="s">
        <v>122</v>
      </c>
      <c r="L4" s="2086"/>
      <c r="M4" s="2011"/>
    </row>
    <row r="5" spans="2:13" s="10" customFormat="1" ht="6" customHeight="1">
      <c r="B5" s="527"/>
      <c r="C5" s="109"/>
      <c r="D5" s="528"/>
      <c r="E5" s="527"/>
      <c r="F5" s="109"/>
      <c r="G5" s="528"/>
      <c r="H5" s="508"/>
      <c r="I5" s="508"/>
      <c r="J5" s="529"/>
      <c r="K5" s="527"/>
      <c r="L5" s="109"/>
      <c r="M5" s="528"/>
    </row>
    <row r="6" spans="2:13" s="10" customFormat="1" ht="6" customHeight="1">
      <c r="B6" s="532"/>
      <c r="C6" s="126"/>
      <c r="D6" s="540"/>
      <c r="E6" s="532"/>
      <c r="F6" s="126"/>
      <c r="G6" s="540"/>
      <c r="H6" s="512"/>
      <c r="I6" s="512"/>
      <c r="J6" s="422"/>
      <c r="K6" s="532"/>
      <c r="L6" s="126"/>
      <c r="M6" s="540"/>
    </row>
    <row r="7" spans="2:13" ht="57" customHeight="1">
      <c r="B7" s="2082" t="e">
        <f>Riepilogo!#REF!</f>
        <v>#REF!</v>
      </c>
      <c r="C7" s="2083" t="s">
        <v>120</v>
      </c>
      <c r="D7" s="2084"/>
      <c r="E7" s="2010" t="s">
        <v>121</v>
      </c>
      <c r="F7" s="2086"/>
      <c r="G7" s="2011"/>
      <c r="H7" s="14" t="e">
        <f>Riepilogo!#REF!</f>
        <v>#REF!</v>
      </c>
      <c r="I7" s="14">
        <v>6141995</v>
      </c>
      <c r="J7" s="108">
        <v>1</v>
      </c>
      <c r="K7" s="2010" t="s">
        <v>122</v>
      </c>
      <c r="L7" s="2086"/>
      <c r="M7" s="2011"/>
    </row>
    <row r="8" spans="2:13" s="10" customFormat="1" ht="6" customHeight="1">
      <c r="B8" s="527"/>
      <c r="C8" s="109"/>
      <c r="D8" s="528"/>
      <c r="E8" s="527"/>
      <c r="F8" s="109"/>
      <c r="G8" s="528"/>
      <c r="H8" s="508"/>
      <c r="I8" s="508"/>
      <c r="J8" s="529"/>
      <c r="K8" s="527"/>
      <c r="L8" s="109"/>
      <c r="M8" s="528"/>
    </row>
    <row r="9" spans="3:12" s="139" customFormat="1" ht="6" customHeight="1">
      <c r="C9" s="7"/>
      <c r="F9" s="7"/>
      <c r="H9" s="412"/>
      <c r="I9" s="412"/>
      <c r="J9" s="530"/>
      <c r="L9" s="7"/>
    </row>
    <row r="10" spans="3:12" ht="14.25">
      <c r="C10" s="7"/>
      <c r="F10" s="7"/>
      <c r="L10" s="7"/>
    </row>
    <row r="11" spans="2:12" ht="15">
      <c r="B11" s="531" t="s">
        <v>124</v>
      </c>
      <c r="C11" s="30"/>
      <c r="D11" s="531"/>
      <c r="E11" s="531"/>
      <c r="F11" s="30"/>
      <c r="G11" s="531"/>
      <c r="H11" s="415"/>
      <c r="I11" s="415"/>
      <c r="L11" s="7"/>
    </row>
    <row r="12" spans="3:12" ht="14.25">
      <c r="C12" s="7"/>
      <c r="F12" s="7"/>
      <c r="L12" s="7"/>
    </row>
    <row r="13" spans="2:10" s="10" customFormat="1" ht="80.25" customHeight="1">
      <c r="B13" s="2087" t="s">
        <v>93</v>
      </c>
      <c r="C13" s="1972"/>
      <c r="D13" s="1973"/>
      <c r="E13" s="111"/>
      <c r="F13" s="112" t="s">
        <v>125</v>
      </c>
      <c r="G13" s="112"/>
      <c r="H13" s="113" t="s">
        <v>126</v>
      </c>
      <c r="I13" s="110" t="s">
        <v>127</v>
      </c>
      <c r="J13" s="106" t="s">
        <v>128</v>
      </c>
    </row>
    <row r="14" spans="2:10" s="10" customFormat="1" ht="6" customHeight="1">
      <c r="B14" s="534"/>
      <c r="C14" s="535"/>
      <c r="D14" s="536"/>
      <c r="E14" s="537"/>
      <c r="F14" s="535"/>
      <c r="G14" s="536"/>
      <c r="H14" s="538"/>
      <c r="I14" s="171"/>
      <c r="J14" s="539"/>
    </row>
    <row r="15" spans="2:10" s="10" customFormat="1" ht="33.75" customHeight="1">
      <c r="B15" s="2082" t="str">
        <f>B4</f>
        <v>Finest S.p.A.</v>
      </c>
      <c r="C15" s="2083" t="s">
        <v>120</v>
      </c>
      <c r="D15" s="2084"/>
      <c r="E15" s="2008">
        <f>Riepilogo!E112</f>
        <v>137176770.15</v>
      </c>
      <c r="F15" s="2085"/>
      <c r="G15" s="2009"/>
      <c r="H15" s="925">
        <f>Riepilogo!G112</f>
        <v>0.021845776050297243</v>
      </c>
      <c r="I15" s="84">
        <f>H4</f>
        <v>2996733</v>
      </c>
      <c r="J15" s="84">
        <f>Riepilogo!R112</f>
        <v>3302059.2</v>
      </c>
    </row>
    <row r="16" spans="2:10" s="10" customFormat="1" ht="6" customHeight="1">
      <c r="B16" s="520"/>
      <c r="C16" s="521"/>
      <c r="D16" s="521"/>
      <c r="E16" s="127"/>
      <c r="F16" s="522"/>
      <c r="G16" s="522"/>
      <c r="H16" s="926"/>
      <c r="I16" s="127"/>
      <c r="J16" s="115"/>
    </row>
    <row r="17" spans="2:12" s="139" customFormat="1" ht="6" customHeight="1">
      <c r="B17" s="532"/>
      <c r="C17" s="126"/>
      <c r="E17" s="532"/>
      <c r="F17" s="126"/>
      <c r="H17" s="927"/>
      <c r="I17" s="533"/>
      <c r="J17" s="512"/>
      <c r="L17" s="126"/>
    </row>
    <row r="18" spans="2:10" s="10" customFormat="1" ht="33.75" customHeight="1">
      <c r="B18" s="2082" t="e">
        <f>B7</f>
        <v>#REF!</v>
      </c>
      <c r="C18" s="2083" t="s">
        <v>123</v>
      </c>
      <c r="D18" s="2084"/>
      <c r="E18" s="2008" t="e">
        <f>Riepilogo!#REF!</f>
        <v>#REF!</v>
      </c>
      <c r="F18" s="2085"/>
      <c r="G18" s="2009"/>
      <c r="H18" s="925" t="e">
        <f>Riepilogo!#REF!</f>
        <v>#REF!</v>
      </c>
      <c r="I18" s="84" t="e">
        <f>H7</f>
        <v>#REF!</v>
      </c>
      <c r="J18" s="84" t="e">
        <f>Riepilogo!#REF!</f>
        <v>#REF!</v>
      </c>
    </row>
    <row r="19" spans="2:10" s="7" customFormat="1" ht="6" customHeight="1">
      <c r="B19" s="457"/>
      <c r="C19" s="26"/>
      <c r="D19" s="27"/>
      <c r="E19" s="457"/>
      <c r="F19" s="26"/>
      <c r="G19" s="27"/>
      <c r="H19" s="198"/>
      <c r="I19" s="45"/>
      <c r="J19" s="45"/>
    </row>
    <row r="20" ht="14.25">
      <c r="H20" s="445"/>
    </row>
    <row r="21" ht="14.25">
      <c r="D21" s="120"/>
    </row>
  </sheetData>
  <sheetProtection/>
  <mergeCells count="15">
    <mergeCell ref="B1:E1"/>
    <mergeCell ref="B2:D2"/>
    <mergeCell ref="E2:G2"/>
    <mergeCell ref="K2:M2"/>
    <mergeCell ref="B4:D4"/>
    <mergeCell ref="E4:G4"/>
    <mergeCell ref="K4:M4"/>
    <mergeCell ref="B18:D18"/>
    <mergeCell ref="E18:G18"/>
    <mergeCell ref="B7:D7"/>
    <mergeCell ref="E7:G7"/>
    <mergeCell ref="K7:M7"/>
    <mergeCell ref="B13:D13"/>
    <mergeCell ref="B15:D15"/>
    <mergeCell ref="E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N284"/>
  <sheetViews>
    <sheetView zoomScaleSheetLayoutView="110" zoomScalePageLayoutView="0" workbookViewId="0" topLeftCell="A1">
      <pane ySplit="6" topLeftCell="A196" activePane="bottomLeft" state="frozen"/>
      <selection pane="topLeft" activeCell="A1" sqref="A1"/>
      <selection pane="bottomLeft" activeCell="D203" sqref="D203"/>
    </sheetView>
  </sheetViews>
  <sheetFormatPr defaultColWidth="15.7109375" defaultRowHeight="12.75"/>
  <cols>
    <col min="1" max="1" width="9.140625" style="625" customWidth="1"/>
    <col min="2" max="2" width="66.421875" style="626" customWidth="1"/>
    <col min="3" max="3" width="23.421875" style="626" customWidth="1"/>
    <col min="4" max="4" width="18.57421875" style="627" customWidth="1"/>
    <col min="5" max="5" width="15.421875" style="675" customWidth="1"/>
    <col min="6" max="6" width="15.421875" style="628" bestFit="1" customWidth="1"/>
    <col min="7" max="7" width="14.7109375" style="628" customWidth="1"/>
    <col min="8" max="8" width="20.140625" style="663" customWidth="1"/>
    <col min="9" max="9" width="25.140625" style="663" customWidth="1"/>
    <col min="10" max="10" width="15.7109375" style="663" customWidth="1"/>
    <col min="11" max="11" width="21.421875" style="663" customWidth="1"/>
    <col min="12" max="12" width="15.7109375" style="663" customWidth="1"/>
    <col min="13" max="16384" width="15.7109375" style="663" customWidth="1"/>
  </cols>
  <sheetData>
    <row r="1" spans="2:7" ht="9.75" customHeight="1">
      <c r="B1" s="581"/>
      <c r="C1" s="581"/>
      <c r="D1" s="582"/>
      <c r="E1" s="672"/>
      <c r="F1" s="240"/>
      <c r="G1" s="240"/>
    </row>
    <row r="2" spans="2:7" ht="16.5" customHeight="1">
      <c r="B2" s="647" t="str">
        <f>Riepilogo!B2</f>
        <v>VENETO SVILUPPO S.P.A. - Documento Anticorruzione e Trasparenza</v>
      </c>
      <c r="C2" s="648" t="s">
        <v>139</v>
      </c>
      <c r="D2" s="649" t="s">
        <v>139</v>
      </c>
      <c r="E2" s="673" t="s">
        <v>139</v>
      </c>
      <c r="F2" s="650"/>
      <c r="G2" s="650"/>
    </row>
    <row r="3" spans="2:7" ht="16.5" customHeight="1">
      <c r="B3" s="651" t="s">
        <v>140</v>
      </c>
      <c r="C3" s="652" t="s">
        <v>139</v>
      </c>
      <c r="D3" s="653"/>
      <c r="E3" s="674" t="s">
        <v>139</v>
      </c>
      <c r="F3" s="654"/>
      <c r="G3" s="654"/>
    </row>
    <row r="4" spans="2:8" ht="26.25" customHeight="1">
      <c r="B4" s="629"/>
      <c r="C4" s="1934" t="s">
        <v>561</v>
      </c>
      <c r="D4" s="723" t="s">
        <v>574</v>
      </c>
      <c r="E4" s="1937" t="s">
        <v>448</v>
      </c>
      <c r="F4" s="1941" t="s">
        <v>273</v>
      </c>
      <c r="G4" s="1942"/>
      <c r="H4" s="1940" t="s">
        <v>469</v>
      </c>
    </row>
    <row r="5" spans="2:8" ht="18" customHeight="1">
      <c r="B5" s="727" t="s">
        <v>464</v>
      </c>
      <c r="C5" s="1935"/>
      <c r="D5" s="723" t="s">
        <v>575</v>
      </c>
      <c r="E5" s="1938"/>
      <c r="F5" s="1943" t="s">
        <v>274</v>
      </c>
      <c r="G5" s="1937" t="s">
        <v>450</v>
      </c>
      <c r="H5" s="1940"/>
    </row>
    <row r="6" spans="2:8" ht="18" customHeight="1">
      <c r="B6" s="630"/>
      <c r="C6" s="1936"/>
      <c r="D6" s="839" t="s">
        <v>191</v>
      </c>
      <c r="E6" s="1939"/>
      <c r="F6" s="1944"/>
      <c r="G6" s="1939"/>
      <c r="H6" s="1940"/>
    </row>
    <row r="7" spans="2:7" ht="15" customHeight="1">
      <c r="B7" s="629"/>
      <c r="C7" s="635"/>
      <c r="D7" s="636"/>
      <c r="E7" s="676"/>
      <c r="F7" s="636"/>
      <c r="G7" s="636"/>
    </row>
    <row r="8" spans="2:7" ht="16.5" customHeight="1">
      <c r="B8" s="645" t="str">
        <f>Riepilogo!B8</f>
        <v>MERCHANT BANK - GESTIONE FONDO CAPITALE DI RISCHIO</v>
      </c>
      <c r="C8" s="655"/>
      <c r="D8" s="655"/>
      <c r="E8" s="656"/>
      <c r="F8" s="655"/>
      <c r="G8" s="655"/>
    </row>
    <row r="9" spans="2:7" ht="15" customHeight="1">
      <c r="B9" s="644"/>
      <c r="C9" s="655"/>
      <c r="D9" s="655"/>
      <c r="E9" s="656"/>
      <c r="F9" s="655"/>
      <c r="G9" s="655"/>
    </row>
    <row r="10" spans="2:7" ht="16.5" customHeight="1">
      <c r="B10" s="646" t="str">
        <f>Riepilogo!B9</f>
        <v>b) collegate</v>
      </c>
      <c r="C10" s="655"/>
      <c r="D10" s="655"/>
      <c r="E10" s="656"/>
      <c r="F10" s="655"/>
      <c r="G10" s="655"/>
    </row>
    <row r="11" spans="2:7" ht="15" customHeight="1">
      <c r="B11" s="631"/>
      <c r="C11" s="657"/>
      <c r="D11" s="657"/>
      <c r="E11" s="658"/>
      <c r="F11" s="657"/>
      <c r="G11" s="657"/>
    </row>
    <row r="12" spans="2:7" ht="18" customHeight="1">
      <c r="B12" s="690" t="str">
        <f>Riepilogo!D44</f>
        <v>Adaptica S.r.l.</v>
      </c>
      <c r="C12" s="691" t="s">
        <v>674</v>
      </c>
      <c r="D12" s="692"/>
      <c r="E12" s="693"/>
      <c r="F12" s="692"/>
      <c r="G12" s="692"/>
    </row>
    <row r="13" spans="2:7" ht="18" customHeight="1">
      <c r="B13" s="694" t="s">
        <v>192</v>
      </c>
      <c r="C13" s="695">
        <v>176230</v>
      </c>
      <c r="D13" s="696"/>
      <c r="E13" s="697"/>
      <c r="F13" s="696"/>
      <c r="G13" s="696"/>
    </row>
    <row r="14" spans="2:7" ht="18" customHeight="1">
      <c r="B14" s="694" t="s">
        <v>193</v>
      </c>
      <c r="C14" s="695">
        <v>3816866</v>
      </c>
      <c r="D14" s="696"/>
      <c r="E14" s="697"/>
      <c r="F14" s="696"/>
      <c r="G14" s="696"/>
    </row>
    <row r="15" spans="2:7" ht="18" customHeight="1">
      <c r="B15" s="694" t="s">
        <v>449</v>
      </c>
      <c r="C15" s="695">
        <v>-803887</v>
      </c>
      <c r="D15" s="703" t="s">
        <v>460</v>
      </c>
      <c r="E15" s="697"/>
      <c r="F15" s="696"/>
      <c r="G15" s="696"/>
    </row>
    <row r="16" spans="2:9" ht="18" customHeight="1">
      <c r="B16" s="694" t="s">
        <v>195</v>
      </c>
      <c r="C16" s="698">
        <v>-1107318</v>
      </c>
      <c r="D16" s="699">
        <f>Riepilogo!I44</f>
        <v>37314.12</v>
      </c>
      <c r="E16" s="697"/>
      <c r="F16" s="696"/>
      <c r="G16" s="696"/>
      <c r="H16" s="685">
        <f>D16/D17</f>
        <v>0.2117353458548488</v>
      </c>
      <c r="I16" s="724" t="s">
        <v>466</v>
      </c>
    </row>
    <row r="17" spans="2:9" ht="18" customHeight="1">
      <c r="B17" s="1137"/>
      <c r="C17" s="698">
        <f>SUM(C13:C16)</f>
        <v>2081891</v>
      </c>
      <c r="D17" s="699">
        <f>Riepilogo!E44</f>
        <v>176230</v>
      </c>
      <c r="E17" s="1136">
        <f>ROUND(C17*D16/D17,2)</f>
        <v>440809.91</v>
      </c>
      <c r="F17" s="699">
        <v>3872366</v>
      </c>
      <c r="G17" s="699">
        <v>2509837</v>
      </c>
      <c r="H17" s="671">
        <f>H16*C17</f>
        <v>440809.910917097</v>
      </c>
      <c r="I17" s="724" t="s">
        <v>467</v>
      </c>
    </row>
    <row r="18" spans="2:7" ht="15" customHeight="1" thickBot="1">
      <c r="B18" s="631"/>
      <c r="C18" s="657"/>
      <c r="D18" s="657"/>
      <c r="E18" s="658"/>
      <c r="F18" s="657"/>
      <c r="G18" s="657"/>
    </row>
    <row r="19" spans="2:7" ht="18" customHeight="1" hidden="1">
      <c r="B19" s="1103" t="str">
        <f>Riepilogo!D10</f>
        <v>Cielle S.r.l.</v>
      </c>
      <c r="C19" s="1132" t="s">
        <v>567</v>
      </c>
      <c r="D19" s="1107"/>
      <c r="E19" s="1138"/>
      <c r="F19" s="1107"/>
      <c r="G19" s="1107"/>
    </row>
    <row r="20" spans="2:7" ht="18" customHeight="1" hidden="1">
      <c r="B20" s="694" t="s">
        <v>192</v>
      </c>
      <c r="C20" s="700">
        <v>1000000</v>
      </c>
      <c r="D20" s="696"/>
      <c r="E20" s="697"/>
      <c r="F20" s="696"/>
      <c r="G20" s="696"/>
    </row>
    <row r="21" spans="2:7" ht="18" customHeight="1" hidden="1">
      <c r="B21" s="694" t="s">
        <v>193</v>
      </c>
      <c r="C21" s="700">
        <f>50000+23339+60653</f>
        <v>133992</v>
      </c>
      <c r="D21" s="696"/>
      <c r="E21" s="697"/>
      <c r="F21" s="696"/>
      <c r="G21" s="696"/>
    </row>
    <row r="22" spans="2:7" ht="18" customHeight="1" hidden="1">
      <c r="B22" s="694" t="s">
        <v>449</v>
      </c>
      <c r="C22" s="700">
        <v>-100377</v>
      </c>
      <c r="D22" s="703" t="s">
        <v>460</v>
      </c>
      <c r="E22" s="697"/>
      <c r="F22" s="696"/>
      <c r="G22" s="696"/>
    </row>
    <row r="23" spans="2:9" ht="18" customHeight="1" hidden="1">
      <c r="B23" s="694" t="s">
        <v>195</v>
      </c>
      <c r="C23" s="701">
        <v>21840</v>
      </c>
      <c r="D23" s="699">
        <f>Riepilogo!I10</f>
        <v>0</v>
      </c>
      <c r="E23" s="697"/>
      <c r="F23" s="696"/>
      <c r="G23" s="696"/>
      <c r="H23" s="685" t="e">
        <f>D23/D24</f>
        <v>#DIV/0!</v>
      </c>
      <c r="I23" s="724" t="s">
        <v>466</v>
      </c>
    </row>
    <row r="24" spans="2:9" ht="18" customHeight="1" hidden="1">
      <c r="B24" s="1137"/>
      <c r="C24" s="701">
        <f>SUM(C20:C23)</f>
        <v>1055455</v>
      </c>
      <c r="D24" s="699">
        <f>Riepilogo!E10</f>
        <v>0</v>
      </c>
      <c r="E24" s="1136" t="e">
        <f>ROUND(C24*D23/D24,2)</f>
        <v>#DIV/0!</v>
      </c>
      <c r="F24" s="699">
        <v>7116237</v>
      </c>
      <c r="G24" s="699">
        <v>5886268</v>
      </c>
      <c r="H24" s="671" t="e">
        <f>H23*C24</f>
        <v>#DIV/0!</v>
      </c>
      <c r="I24" s="724" t="s">
        <v>467</v>
      </c>
    </row>
    <row r="25" spans="2:8" ht="15" customHeight="1" hidden="1" thickBot="1">
      <c r="B25" s="632"/>
      <c r="C25" s="681"/>
      <c r="D25" s="682"/>
      <c r="E25" s="683"/>
      <c r="F25" s="682"/>
      <c r="G25" s="682"/>
      <c r="H25" s="671"/>
    </row>
    <row r="26" spans="2:11" ht="18" customHeight="1">
      <c r="B26" s="1103" t="str">
        <f>Riepilogo!D12</f>
        <v>Develon S.r.l.</v>
      </c>
      <c r="C26" s="1104" t="s">
        <v>674</v>
      </c>
      <c r="D26" s="1105"/>
      <c r="E26" s="1106"/>
      <c r="F26" s="1105"/>
      <c r="G26" s="1107"/>
      <c r="H26" s="1928">
        <v>42735</v>
      </c>
      <c r="I26" s="1928"/>
      <c r="J26" s="1928"/>
      <c r="K26" s="1929"/>
    </row>
    <row r="27" spans="2:11" ht="18" customHeight="1">
      <c r="B27" s="1108" t="s">
        <v>192</v>
      </c>
      <c r="C27" s="811">
        <v>679285</v>
      </c>
      <c r="D27" s="809"/>
      <c r="E27" s="813"/>
      <c r="F27" s="809"/>
      <c r="G27" s="696"/>
      <c r="H27" s="1930" t="s">
        <v>454</v>
      </c>
      <c r="I27" s="1930"/>
      <c r="J27" s="1930"/>
      <c r="K27" s="1931"/>
    </row>
    <row r="28" spans="2:11" ht="18" customHeight="1">
      <c r="B28" s="1108" t="s">
        <v>193</v>
      </c>
      <c r="C28" s="811">
        <f>1775836+22550+126940</f>
        <v>1925326</v>
      </c>
      <c r="D28" s="809"/>
      <c r="E28" s="813"/>
      <c r="F28" s="809"/>
      <c r="G28" s="696"/>
      <c r="H28" s="807">
        <f>Riepilogo!I12</f>
        <v>224164.07</v>
      </c>
      <c r="I28" s="730" t="s">
        <v>457</v>
      </c>
      <c r="J28" s="729"/>
      <c r="K28" s="684"/>
    </row>
    <row r="29" spans="2:11" ht="18" customHeight="1">
      <c r="B29" s="1109" t="s">
        <v>453</v>
      </c>
      <c r="C29" s="811">
        <v>0</v>
      </c>
      <c r="D29" s="809"/>
      <c r="E29" s="813"/>
      <c r="F29" s="809"/>
      <c r="G29" s="696"/>
      <c r="H29" s="807">
        <f>Riepilogo!E12</f>
        <v>679285.0700000001</v>
      </c>
      <c r="I29" s="730" t="s">
        <v>455</v>
      </c>
      <c r="J29" s="729"/>
      <c r="K29" s="684"/>
    </row>
    <row r="30" spans="2:11" ht="18" customHeight="1" thickBot="1">
      <c r="B30" s="1108" t="s">
        <v>449</v>
      </c>
      <c r="C30" s="811">
        <v>0</v>
      </c>
      <c r="D30" s="809"/>
      <c r="E30" s="813"/>
      <c r="F30" s="809"/>
      <c r="G30" s="696"/>
      <c r="H30" s="808">
        <f>H28/H29</f>
        <v>0.3299999954363784</v>
      </c>
      <c r="I30" s="732" t="s">
        <v>456</v>
      </c>
      <c r="J30" s="731">
        <f>H30*C32</f>
        <v>862976.71806576</v>
      </c>
      <c r="K30" s="733" t="s">
        <v>529</v>
      </c>
    </row>
    <row r="31" spans="2:7" ht="18" customHeight="1">
      <c r="B31" s="1108" t="s">
        <v>195</v>
      </c>
      <c r="C31" s="815">
        <v>10470</v>
      </c>
      <c r="D31" s="696"/>
      <c r="E31" s="810"/>
      <c r="F31" s="809"/>
      <c r="G31" s="696"/>
    </row>
    <row r="32" spans="2:7" ht="18" customHeight="1">
      <c r="B32" s="1108"/>
      <c r="C32" s="811">
        <f>SUM(C27:C31)</f>
        <v>2615081</v>
      </c>
      <c r="D32" s="696"/>
      <c r="E32" s="810"/>
      <c r="F32" s="809"/>
      <c r="G32" s="696"/>
    </row>
    <row r="33" spans="2:9" ht="18" customHeight="1">
      <c r="B33" s="1110" t="s">
        <v>568</v>
      </c>
      <c r="C33" s="814"/>
      <c r="D33" s="813"/>
      <c r="E33" s="813"/>
      <c r="F33" s="809"/>
      <c r="G33" s="696"/>
      <c r="H33" s="671"/>
      <c r="I33" s="724"/>
    </row>
    <row r="34" spans="2:9" ht="18" customHeight="1">
      <c r="B34" s="1110" t="s">
        <v>570</v>
      </c>
      <c r="C34" s="814">
        <v>0</v>
      </c>
      <c r="D34" s="812" t="s">
        <v>460</v>
      </c>
      <c r="E34" s="813"/>
      <c r="F34" s="809"/>
      <c r="G34" s="696"/>
      <c r="H34" s="671"/>
      <c r="I34" s="724"/>
    </row>
    <row r="35" spans="2:9" ht="18" customHeight="1">
      <c r="B35" s="1110" t="s">
        <v>571</v>
      </c>
      <c r="C35" s="834">
        <v>0</v>
      </c>
      <c r="D35" s="699">
        <f>Riepilogo!I12</f>
        <v>224164.07</v>
      </c>
      <c r="E35" s="813"/>
      <c r="F35" s="809"/>
      <c r="G35" s="696"/>
      <c r="H35" s="685">
        <f>D35/D36</f>
        <v>0.3299999954363784</v>
      </c>
      <c r="I35" s="724" t="s">
        <v>466</v>
      </c>
    </row>
    <row r="36" spans="2:9" ht="18" customHeight="1">
      <c r="B36" s="1111"/>
      <c r="C36" s="1100">
        <f>C32+C33+C34+C35</f>
        <v>2615081</v>
      </c>
      <c r="D36" s="1101">
        <f>Riepilogo!E12</f>
        <v>679285.0700000001</v>
      </c>
      <c r="E36" s="1102">
        <f>ROUND(C36*D35/D36,2)</f>
        <v>862976.72</v>
      </c>
      <c r="F36" s="1101">
        <v>4360466</v>
      </c>
      <c r="G36" s="699">
        <v>3080572</v>
      </c>
      <c r="H36" s="671">
        <f>H35*C32</f>
        <v>862976.71806576</v>
      </c>
      <c r="I36" s="724" t="s">
        <v>467</v>
      </c>
    </row>
    <row r="37" spans="2:7" ht="15" customHeight="1">
      <c r="B37" s="630"/>
      <c r="C37" s="637"/>
      <c r="D37" s="638"/>
      <c r="E37" s="656"/>
      <c r="F37" s="638"/>
      <c r="G37" s="638"/>
    </row>
    <row r="38" spans="2:7" ht="18" customHeight="1" hidden="1">
      <c r="B38" s="1103" t="str">
        <f>Riepilogo!D14</f>
        <v>Garmont International S.r.l.</v>
      </c>
      <c r="C38" s="1132" t="s">
        <v>674</v>
      </c>
      <c r="D38" s="1107"/>
      <c r="E38" s="1138"/>
      <c r="F38" s="1107"/>
      <c r="G38" s="1107"/>
    </row>
    <row r="39" spans="2:7" ht="18" customHeight="1" hidden="1">
      <c r="B39" s="694" t="s">
        <v>192</v>
      </c>
      <c r="C39" s="700">
        <v>1522000</v>
      </c>
      <c r="D39" s="696"/>
      <c r="E39" s="697"/>
      <c r="F39" s="696"/>
      <c r="G39" s="703"/>
    </row>
    <row r="40" spans="2:7" ht="18" customHeight="1" hidden="1">
      <c r="B40" s="694" t="s">
        <v>193</v>
      </c>
      <c r="C40" s="700">
        <f>6254+31465</f>
        <v>37719</v>
      </c>
      <c r="D40" s="696"/>
      <c r="E40" s="697"/>
      <c r="F40" s="696"/>
      <c r="G40" s="696"/>
    </row>
    <row r="41" spans="2:7" ht="18" customHeight="1" hidden="1">
      <c r="B41" s="702" t="s">
        <v>415</v>
      </c>
      <c r="C41" s="700">
        <v>500000</v>
      </c>
      <c r="D41" s="696"/>
      <c r="E41" s="697"/>
      <c r="F41" s="696"/>
      <c r="G41" s="696"/>
    </row>
    <row r="42" spans="2:7" ht="18" customHeight="1" hidden="1">
      <c r="B42" s="694" t="s">
        <v>449</v>
      </c>
      <c r="C42" s="700">
        <v>0</v>
      </c>
      <c r="D42" s="703" t="s">
        <v>460</v>
      </c>
      <c r="E42" s="697"/>
      <c r="F42" s="696"/>
      <c r="G42" s="696"/>
    </row>
    <row r="43" spans="2:9" ht="18" customHeight="1" hidden="1">
      <c r="B43" s="694" t="s">
        <v>195</v>
      </c>
      <c r="C43" s="701">
        <v>407569</v>
      </c>
      <c r="D43" s="699">
        <f>Riepilogo!I14</f>
        <v>0</v>
      </c>
      <c r="E43" s="697"/>
      <c r="F43" s="696"/>
      <c r="G43" s="696"/>
      <c r="H43" s="685" t="e">
        <f>D43/D44</f>
        <v>#DIV/0!</v>
      </c>
      <c r="I43" s="724" t="s">
        <v>466</v>
      </c>
    </row>
    <row r="44" spans="2:9" ht="18" customHeight="1" hidden="1">
      <c r="B44" s="1137"/>
      <c r="C44" s="701">
        <f>SUM(C39:C43)</f>
        <v>2467288</v>
      </c>
      <c r="D44" s="699">
        <f>Riepilogo!E14</f>
        <v>0</v>
      </c>
      <c r="E44" s="1136" t="e">
        <f>ROUND(C44*D43/D44,2)</f>
        <v>#DIV/0!</v>
      </c>
      <c r="F44" s="699">
        <v>9838982</v>
      </c>
      <c r="G44" s="699">
        <v>11902845</v>
      </c>
      <c r="H44" s="671" t="e">
        <f>H43*C44</f>
        <v>#DIV/0!</v>
      </c>
      <c r="I44" s="724" t="s">
        <v>467</v>
      </c>
    </row>
    <row r="45" spans="2:7" ht="15" customHeight="1" hidden="1">
      <c r="B45" s="630"/>
      <c r="C45" s="637"/>
      <c r="D45" s="638"/>
      <c r="E45" s="656"/>
      <c r="F45" s="638"/>
      <c r="G45" s="638"/>
    </row>
    <row r="46" spans="2:7" ht="18" customHeight="1">
      <c r="B46" s="1103" t="s">
        <v>319</v>
      </c>
      <c r="C46" s="1132" t="s">
        <v>674</v>
      </c>
      <c r="D46" s="1107"/>
      <c r="E46" s="1138"/>
      <c r="F46" s="1107"/>
      <c r="G46" s="1107"/>
    </row>
    <row r="47" spans="2:7" ht="18" customHeight="1">
      <c r="B47" s="694" t="s">
        <v>192</v>
      </c>
      <c r="C47" s="700">
        <v>545455</v>
      </c>
      <c r="D47" s="696"/>
      <c r="E47" s="697"/>
      <c r="F47" s="696"/>
      <c r="G47" s="696"/>
    </row>
    <row r="48" spans="2:7" ht="18" customHeight="1">
      <c r="B48" s="694" t="s">
        <v>193</v>
      </c>
      <c r="C48" s="700">
        <f>504545+11997+14158</f>
        <v>530700</v>
      </c>
      <c r="D48" s="696"/>
      <c r="E48" s="697"/>
      <c r="F48" s="696"/>
      <c r="G48" s="696"/>
    </row>
    <row r="49" spans="2:7" ht="18" customHeight="1">
      <c r="B49" s="694" t="s">
        <v>449</v>
      </c>
      <c r="C49" s="700">
        <v>-97761</v>
      </c>
      <c r="D49" s="703" t="s">
        <v>460</v>
      </c>
      <c r="E49" s="697"/>
      <c r="F49" s="696"/>
      <c r="G49" s="696"/>
    </row>
    <row r="50" spans="2:9" ht="18" customHeight="1">
      <c r="B50" s="694" t="s">
        <v>195</v>
      </c>
      <c r="C50" s="701">
        <v>88748</v>
      </c>
      <c r="D50" s="699">
        <f>Riepilogo!I16</f>
        <v>245455</v>
      </c>
      <c r="E50" s="697"/>
      <c r="F50" s="696"/>
      <c r="G50" s="696"/>
      <c r="H50" s="685">
        <f>D50/D51</f>
        <v>0.4500004583329514</v>
      </c>
      <c r="I50" s="724" t="s">
        <v>466</v>
      </c>
    </row>
    <row r="51" spans="2:10" ht="18" customHeight="1">
      <c r="B51" s="1137"/>
      <c r="C51" s="701">
        <f>SUM(C47:C50)</f>
        <v>1067142</v>
      </c>
      <c r="D51" s="699">
        <f>Riepilogo!E16</f>
        <v>545455</v>
      </c>
      <c r="E51" s="1136">
        <f>ROUND(C51*D50/D51,2)</f>
        <v>480214.39</v>
      </c>
      <c r="F51" s="699">
        <v>4754743</v>
      </c>
      <c r="G51" s="699">
        <v>3403426</v>
      </c>
      <c r="H51" s="671">
        <f>H50*C51</f>
        <v>480214.3891063424</v>
      </c>
      <c r="I51" s="724" t="s">
        <v>467</v>
      </c>
      <c r="J51" s="665"/>
    </row>
    <row r="52" spans="2:7" ht="15" customHeight="1">
      <c r="B52" s="630"/>
      <c r="C52" s="637"/>
      <c r="D52" s="638"/>
      <c r="E52" s="656"/>
      <c r="F52" s="638"/>
      <c r="G52" s="638"/>
    </row>
    <row r="53" spans="2:7" ht="18" customHeight="1">
      <c r="B53" s="1103" t="str">
        <f>+Riepilogo!D18</f>
        <v>Neurimpulse S.r.l.</v>
      </c>
      <c r="C53" s="1132" t="s">
        <v>674</v>
      </c>
      <c r="D53" s="1107"/>
      <c r="E53" s="1138"/>
      <c r="F53" s="1107"/>
      <c r="G53" s="1107"/>
    </row>
    <row r="54" spans="2:7" ht="18" customHeight="1">
      <c r="B54" s="694" t="s">
        <v>192</v>
      </c>
      <c r="C54" s="700">
        <v>2000000</v>
      </c>
      <c r="D54" s="696"/>
      <c r="E54" s="697"/>
      <c r="F54" s="696"/>
      <c r="G54" s="696"/>
    </row>
    <row r="55" spans="2:7" ht="18" customHeight="1">
      <c r="B55" s="694" t="s">
        <v>193</v>
      </c>
      <c r="C55" s="700">
        <v>2</v>
      </c>
      <c r="D55" s="696"/>
      <c r="E55" s="697"/>
      <c r="F55" s="696"/>
      <c r="G55" s="696"/>
    </row>
    <row r="56" spans="2:7" ht="18" customHeight="1">
      <c r="B56" s="694" t="s">
        <v>449</v>
      </c>
      <c r="C56" s="700">
        <v>-329016</v>
      </c>
      <c r="D56" s="703" t="s">
        <v>460</v>
      </c>
      <c r="E56" s="697"/>
      <c r="F56" s="696"/>
      <c r="G56" s="696"/>
    </row>
    <row r="57" spans="2:9" ht="18" customHeight="1">
      <c r="B57" s="694" t="s">
        <v>195</v>
      </c>
      <c r="C57" s="701">
        <v>-81308</v>
      </c>
      <c r="D57" s="699">
        <f>Riepilogo!I18</f>
        <v>600000</v>
      </c>
      <c r="E57" s="697"/>
      <c r="F57" s="696"/>
      <c r="G57" s="696"/>
      <c r="H57" s="685">
        <f>D57/D58</f>
        <v>0.3</v>
      </c>
      <c r="I57" s="724" t="s">
        <v>466</v>
      </c>
    </row>
    <row r="58" spans="2:9" ht="18" customHeight="1">
      <c r="B58" s="1137"/>
      <c r="C58" s="701">
        <f>SUM(C54:C57)</f>
        <v>1589678</v>
      </c>
      <c r="D58" s="699">
        <f>Riepilogo!E18</f>
        <v>2000000</v>
      </c>
      <c r="E58" s="1136">
        <f>ROUND(C58*D57/D58,2)</f>
        <v>476903.4</v>
      </c>
      <c r="F58" s="699">
        <v>2235684</v>
      </c>
      <c r="G58" s="699">
        <v>436254</v>
      </c>
      <c r="H58" s="671">
        <f>H57*C58</f>
        <v>476903.39999999997</v>
      </c>
      <c r="I58" s="724" t="s">
        <v>467</v>
      </c>
    </row>
    <row r="59" spans="2:7" ht="15" customHeight="1">
      <c r="B59" s="630"/>
      <c r="C59" s="637"/>
      <c r="D59" s="638"/>
      <c r="E59" s="656"/>
      <c r="F59" s="638"/>
      <c r="G59" s="638"/>
    </row>
    <row r="60" spans="2:7" ht="18" customHeight="1">
      <c r="B60" s="1103" t="str">
        <f>Riepilogo!D42</f>
        <v>Nuove Energie S.r.l.</v>
      </c>
      <c r="C60" s="1132" t="s">
        <v>674</v>
      </c>
      <c r="D60" s="1107"/>
      <c r="E60" s="1138"/>
      <c r="F60" s="1107"/>
      <c r="G60" s="1107"/>
    </row>
    <row r="61" spans="2:7" ht="18" customHeight="1">
      <c r="B61" s="694" t="s">
        <v>192</v>
      </c>
      <c r="C61" s="700">
        <v>1000000</v>
      </c>
      <c r="D61" s="696"/>
      <c r="E61" s="697"/>
      <c r="F61" s="696"/>
      <c r="G61" s="696"/>
    </row>
    <row r="62" spans="2:7" ht="18" customHeight="1">
      <c r="B62" s="694" t="s">
        <v>193</v>
      </c>
      <c r="C62" s="700">
        <f>420000+5837+465902</f>
        <v>891739</v>
      </c>
      <c r="D62" s="696"/>
      <c r="E62" s="697"/>
      <c r="F62" s="696"/>
      <c r="G62" s="696"/>
    </row>
    <row r="63" spans="2:7" ht="18" customHeight="1">
      <c r="B63" s="702" t="s">
        <v>451</v>
      </c>
      <c r="C63" s="700"/>
      <c r="D63" s="696"/>
      <c r="E63" s="697"/>
      <c r="F63" s="696"/>
      <c r="G63" s="696"/>
    </row>
    <row r="64" spans="2:7" ht="18" customHeight="1">
      <c r="B64" s="694" t="s">
        <v>449</v>
      </c>
      <c r="C64" s="700">
        <v>-10051</v>
      </c>
      <c r="D64" s="703" t="s">
        <v>460</v>
      </c>
      <c r="E64" s="697"/>
      <c r="F64" s="696"/>
      <c r="G64" s="696"/>
    </row>
    <row r="65" spans="2:9" ht="18" customHeight="1">
      <c r="B65" s="694" t="s">
        <v>195</v>
      </c>
      <c r="C65" s="701">
        <v>1947</v>
      </c>
      <c r="D65" s="699">
        <f>Riepilogo!I42</f>
        <v>380000</v>
      </c>
      <c r="E65" s="697"/>
      <c r="F65" s="696"/>
      <c r="G65" s="696"/>
      <c r="H65" s="685">
        <f>D65/D66</f>
        <v>0.38</v>
      </c>
      <c r="I65" s="724" t="s">
        <v>466</v>
      </c>
    </row>
    <row r="66" spans="2:9" ht="18" customHeight="1">
      <c r="B66" s="1137"/>
      <c r="C66" s="701">
        <f>SUM(C61:C65)</f>
        <v>1883635</v>
      </c>
      <c r="D66" s="699">
        <f>Riepilogo!E42</f>
        <v>1000000</v>
      </c>
      <c r="E66" s="1136">
        <f>ROUND(C66*D65/D66,2)</f>
        <v>715781.3</v>
      </c>
      <c r="F66" s="699">
        <v>6466083</v>
      </c>
      <c r="G66" s="699">
        <v>4317864</v>
      </c>
      <c r="H66" s="671">
        <f>H65*C66</f>
        <v>715781.3</v>
      </c>
      <c r="I66" s="724" t="s">
        <v>467</v>
      </c>
    </row>
    <row r="67" spans="2:7" ht="15" customHeight="1">
      <c r="B67" s="632"/>
      <c r="C67" s="637"/>
      <c r="D67" s="638"/>
      <c r="E67" s="656"/>
      <c r="F67" s="638"/>
      <c r="G67" s="638"/>
    </row>
    <row r="68" spans="2:7" ht="18" customHeight="1">
      <c r="B68" s="1103" t="str">
        <f>Riepilogo!D20</f>
        <v>Officina Stellare S.r.l.</v>
      </c>
      <c r="C68" s="1132" t="s">
        <v>674</v>
      </c>
      <c r="D68" s="1107"/>
      <c r="E68" s="1138"/>
      <c r="F68" s="1107"/>
      <c r="G68" s="1107"/>
    </row>
    <row r="69" spans="2:7" ht="18" customHeight="1">
      <c r="B69" s="694" t="s">
        <v>192</v>
      </c>
      <c r="C69" s="700">
        <v>615385</v>
      </c>
      <c r="D69" s="696"/>
      <c r="E69" s="697"/>
      <c r="F69" s="696"/>
      <c r="G69" s="704"/>
    </row>
    <row r="70" spans="2:7" ht="18" customHeight="1">
      <c r="B70" s="694" t="s">
        <v>193</v>
      </c>
      <c r="C70" s="700">
        <f>285747+4419+81271</f>
        <v>371437</v>
      </c>
      <c r="D70" s="696"/>
      <c r="E70" s="697"/>
      <c r="F70" s="696"/>
      <c r="G70" s="692"/>
    </row>
    <row r="71" spans="2:7" ht="18" customHeight="1">
      <c r="B71" s="694" t="s">
        <v>449</v>
      </c>
      <c r="C71" s="700">
        <v>0</v>
      </c>
      <c r="D71" s="703" t="s">
        <v>460</v>
      </c>
      <c r="E71" s="697"/>
      <c r="F71" s="696"/>
      <c r="G71" s="692"/>
    </row>
    <row r="72" spans="2:9" ht="18" customHeight="1">
      <c r="B72" s="694" t="s">
        <v>195</v>
      </c>
      <c r="C72" s="701">
        <v>69242</v>
      </c>
      <c r="D72" s="699">
        <f>Riepilogo!I20</f>
        <v>215385</v>
      </c>
      <c r="E72" s="697"/>
      <c r="F72" s="696"/>
      <c r="G72" s="692"/>
      <c r="H72" s="685">
        <f>D72/D73</f>
        <v>0.3500004062497461</v>
      </c>
      <c r="I72" s="724" t="s">
        <v>466</v>
      </c>
    </row>
    <row r="73" spans="2:9" ht="18" customHeight="1">
      <c r="B73" s="1134"/>
      <c r="C73" s="701">
        <f>SUM(C69:C72)</f>
        <v>1056064</v>
      </c>
      <c r="D73" s="699">
        <f>Riepilogo!E20</f>
        <v>615385</v>
      </c>
      <c r="E73" s="1136">
        <f>ROUND(C73*D72/D73,2)</f>
        <v>369622.83</v>
      </c>
      <c r="F73" s="699">
        <v>2682961</v>
      </c>
      <c r="G73" s="1139">
        <v>2099964</v>
      </c>
      <c r="H73" s="671">
        <f>H72*C73</f>
        <v>369622.8290257319</v>
      </c>
      <c r="I73" s="724" t="s">
        <v>467</v>
      </c>
    </row>
    <row r="74" spans="2:7" ht="15" customHeight="1">
      <c r="B74" s="632"/>
      <c r="C74" s="637"/>
      <c r="D74" s="638"/>
      <c r="E74" s="656"/>
      <c r="F74" s="638"/>
      <c r="G74" s="638"/>
    </row>
    <row r="75" spans="2:7" ht="18" customHeight="1">
      <c r="B75" s="1103" t="s">
        <v>320</v>
      </c>
      <c r="C75" s="1132" t="s">
        <v>675</v>
      </c>
      <c r="D75" s="707"/>
      <c r="E75" s="1133"/>
      <c r="F75" s="707"/>
      <c r="G75" s="707"/>
    </row>
    <row r="76" spans="2:7" ht="18" customHeight="1">
      <c r="B76" s="694" t="s">
        <v>192</v>
      </c>
      <c r="C76" s="700">
        <v>876471</v>
      </c>
      <c r="D76" s="696"/>
      <c r="E76" s="697"/>
      <c r="F76" s="696"/>
      <c r="G76" s="696"/>
    </row>
    <row r="77" spans="2:7" ht="18" customHeight="1">
      <c r="B77" s="694" t="s">
        <v>193</v>
      </c>
      <c r="C77" s="700">
        <f>-3+2461529</f>
        <v>2461526</v>
      </c>
      <c r="D77" s="696"/>
      <c r="E77" s="697"/>
      <c r="F77" s="696"/>
      <c r="G77" s="696"/>
    </row>
    <row r="78" spans="2:7" ht="18" customHeight="1">
      <c r="B78" s="694" t="s">
        <v>452</v>
      </c>
      <c r="C78" s="700"/>
      <c r="D78" s="703"/>
      <c r="E78" s="697"/>
      <c r="F78" s="696"/>
      <c r="G78" s="696"/>
    </row>
    <row r="79" spans="2:7" ht="18" customHeight="1">
      <c r="B79" s="1108" t="s">
        <v>449</v>
      </c>
      <c r="C79" s="811">
        <v>-1274323</v>
      </c>
      <c r="D79" s="809" t="s">
        <v>460</v>
      </c>
      <c r="E79" s="697"/>
      <c r="F79" s="696"/>
      <c r="G79" s="696"/>
    </row>
    <row r="80" spans="2:8" ht="18" customHeight="1">
      <c r="B80" s="705" t="s">
        <v>195</v>
      </c>
      <c r="C80" s="701">
        <v>11807</v>
      </c>
      <c r="D80" s="699">
        <f>Riepilogo!I22</f>
        <v>288235.29</v>
      </c>
      <c r="E80" s="697"/>
      <c r="F80" s="696"/>
      <c r="G80" s="696"/>
      <c r="H80" s="685"/>
    </row>
    <row r="81" spans="2:8" ht="18" customHeight="1">
      <c r="B81" s="690"/>
      <c r="C81" s="700">
        <f>SUM(C76:C80)</f>
        <v>2075481</v>
      </c>
      <c r="D81" s="696">
        <f>Riepilogo!E22</f>
        <v>876470.58</v>
      </c>
      <c r="E81" s="697"/>
      <c r="F81" s="696"/>
      <c r="G81" s="696"/>
      <c r="H81" s="671"/>
    </row>
    <row r="82" spans="2:9" ht="18" customHeight="1">
      <c r="B82" s="694" t="s">
        <v>568</v>
      </c>
      <c r="C82" s="700"/>
      <c r="D82" s="696"/>
      <c r="E82" s="697"/>
      <c r="F82" s="696"/>
      <c r="G82" s="696"/>
      <c r="H82" s="671"/>
      <c r="I82" s="724"/>
    </row>
    <row r="83" spans="2:9" ht="18" customHeight="1">
      <c r="B83" s="694" t="s">
        <v>570</v>
      </c>
      <c r="C83" s="700"/>
      <c r="D83" s="696"/>
      <c r="E83" s="697"/>
      <c r="F83" s="696"/>
      <c r="G83" s="696"/>
      <c r="H83" s="671"/>
      <c r="I83" s="724"/>
    </row>
    <row r="84" spans="2:9" ht="18" customHeight="1">
      <c r="B84" s="694" t="s">
        <v>571</v>
      </c>
      <c r="C84" s="700"/>
      <c r="D84" s="703" t="s">
        <v>460</v>
      </c>
      <c r="E84" s="697"/>
      <c r="F84" s="696"/>
      <c r="G84" s="696"/>
      <c r="H84" s="671"/>
      <c r="I84" s="724"/>
    </row>
    <row r="85" spans="2:9" ht="18" customHeight="1">
      <c r="B85" s="694" t="s">
        <v>569</v>
      </c>
      <c r="C85" s="700"/>
      <c r="D85" s="699">
        <f>Riepilogo!I22</f>
        <v>288235.29</v>
      </c>
      <c r="E85" s="697"/>
      <c r="F85" s="696"/>
      <c r="G85" s="696"/>
      <c r="H85" s="685">
        <f>D85/D86</f>
        <v>0.3288590587946489</v>
      </c>
      <c r="I85" s="724" t="s">
        <v>466</v>
      </c>
    </row>
    <row r="86" spans="2:9" ht="18" customHeight="1">
      <c r="B86" s="1134"/>
      <c r="C86" s="1135">
        <f>C81+C82+C83+C84+C85</f>
        <v>2075481</v>
      </c>
      <c r="D86" s="699">
        <f>Riepilogo!E22</f>
        <v>876470.58</v>
      </c>
      <c r="E86" s="1136">
        <f>ROUND(C86*D85/D86,2)</f>
        <v>682540.73</v>
      </c>
      <c r="F86" s="699">
        <v>7891852</v>
      </c>
      <c r="G86" s="699">
        <v>6732220</v>
      </c>
      <c r="H86" s="671">
        <f>H85*C86</f>
        <v>682540.7282061767</v>
      </c>
      <c r="I86" s="724" t="s">
        <v>467</v>
      </c>
    </row>
    <row r="87" spans="2:8" ht="15" customHeight="1">
      <c r="B87" s="632"/>
      <c r="C87" s="637"/>
      <c r="D87" s="638"/>
      <c r="E87" s="656"/>
      <c r="F87" s="638"/>
      <c r="G87" s="638"/>
      <c r="H87" s="671"/>
    </row>
    <row r="88" spans="2:7" ht="18" customHeight="1" hidden="1">
      <c r="B88" s="690" t="str">
        <f>Riepilogo!D24</f>
        <v>SI14 S.p.A.</v>
      </c>
      <c r="C88" s="691" t="s">
        <v>674</v>
      </c>
      <c r="D88" s="696"/>
      <c r="E88" s="697"/>
      <c r="F88" s="696"/>
      <c r="G88" s="696"/>
    </row>
    <row r="89" spans="2:7" ht="18" customHeight="1" hidden="1">
      <c r="B89" s="694" t="s">
        <v>192</v>
      </c>
      <c r="C89" s="700">
        <v>957181</v>
      </c>
      <c r="D89" s="696"/>
      <c r="E89" s="697"/>
      <c r="F89" s="696"/>
      <c r="G89" s="696"/>
    </row>
    <row r="90" spans="2:7" ht="18" customHeight="1" hidden="1">
      <c r="B90" s="694" t="s">
        <v>193</v>
      </c>
      <c r="C90" s="700">
        <f>3451471+13549+1950000</f>
        <v>5415020</v>
      </c>
      <c r="D90" s="696"/>
      <c r="E90" s="697"/>
      <c r="F90" s="696"/>
      <c r="G90" s="696"/>
    </row>
    <row r="91" spans="2:9" ht="18" customHeight="1" hidden="1">
      <c r="B91" s="694" t="s">
        <v>449</v>
      </c>
      <c r="C91" s="700">
        <v>-2634660</v>
      </c>
      <c r="D91" s="703" t="s">
        <v>461</v>
      </c>
      <c r="E91" s="697"/>
      <c r="F91" s="696"/>
      <c r="G91" s="696"/>
      <c r="H91" s="671" t="e">
        <f>C89/D93</f>
        <v>#DIV/0!</v>
      </c>
      <c r="I91" s="724" t="s">
        <v>462</v>
      </c>
    </row>
    <row r="92" spans="2:9" ht="18" customHeight="1" hidden="1">
      <c r="B92" s="694" t="s">
        <v>195</v>
      </c>
      <c r="C92" s="700">
        <v>-2650285</v>
      </c>
      <c r="D92" s="699">
        <f>Riepilogo!F24</f>
        <v>0</v>
      </c>
      <c r="E92" s="697"/>
      <c r="F92" s="696"/>
      <c r="G92" s="696"/>
      <c r="H92" s="685" t="e">
        <f>D92/D93</f>
        <v>#DIV/0!</v>
      </c>
      <c r="I92" s="724" t="s">
        <v>466</v>
      </c>
    </row>
    <row r="93" spans="2:9" ht="18" customHeight="1" hidden="1">
      <c r="B93" s="705"/>
      <c r="C93" s="706">
        <f>SUM(C89:C92)</f>
        <v>1087256</v>
      </c>
      <c r="D93" s="696">
        <f>Riepilogo!F25</f>
        <v>0</v>
      </c>
      <c r="E93" s="697">
        <v>0</v>
      </c>
      <c r="F93" s="696">
        <v>6026295</v>
      </c>
      <c r="G93" s="696">
        <v>3325021</v>
      </c>
      <c r="H93" s="671" t="e">
        <f>H92*C93</f>
        <v>#DIV/0!</v>
      </c>
      <c r="I93" s="724" t="s">
        <v>467</v>
      </c>
    </row>
    <row r="94" spans="1:9" s="1131" customFormat="1" ht="18" customHeight="1" hidden="1">
      <c r="A94" s="1127"/>
      <c r="B94" s="1128"/>
      <c r="C94" s="681"/>
      <c r="D94" s="682"/>
      <c r="E94" s="683"/>
      <c r="F94" s="682"/>
      <c r="G94" s="682"/>
      <c r="H94" s="1129"/>
      <c r="I94" s="1130"/>
    </row>
    <row r="95" spans="2:9" ht="18" customHeight="1">
      <c r="B95" s="1103" t="s">
        <v>702</v>
      </c>
      <c r="C95" s="1140" t="s">
        <v>674</v>
      </c>
      <c r="D95" s="707"/>
      <c r="E95" s="1133"/>
      <c r="F95" s="707"/>
      <c r="G95" s="707"/>
      <c r="H95" s="671"/>
      <c r="I95" s="724"/>
    </row>
    <row r="96" spans="2:9" ht="18" customHeight="1">
      <c r="B96" s="694" t="s">
        <v>192</v>
      </c>
      <c r="C96" s="700">
        <v>1262386</v>
      </c>
      <c r="D96" s="696"/>
      <c r="E96" s="697"/>
      <c r="F96" s="696"/>
      <c r="G96" s="696"/>
      <c r="H96" s="671"/>
      <c r="I96" s="724"/>
    </row>
    <row r="97" spans="2:9" ht="18" customHeight="1">
      <c r="B97" s="694" t="s">
        <v>193</v>
      </c>
      <c r="C97" s="700">
        <f>5249614+58948+2889244</f>
        <v>8197806</v>
      </c>
      <c r="D97" s="696"/>
      <c r="E97" s="697"/>
      <c r="F97" s="696"/>
      <c r="G97" s="696"/>
      <c r="H97" s="671"/>
      <c r="I97" s="724"/>
    </row>
    <row r="98" spans="2:9" ht="18" customHeight="1">
      <c r="B98" s="694" t="s">
        <v>449</v>
      </c>
      <c r="C98" s="700">
        <v>-4306584</v>
      </c>
      <c r="D98" s="703" t="s">
        <v>460</v>
      </c>
      <c r="E98" s="697"/>
      <c r="F98" s="696"/>
      <c r="G98" s="696"/>
      <c r="H98" s="671"/>
      <c r="I98" s="724"/>
    </row>
    <row r="99" spans="2:9" ht="18" customHeight="1">
      <c r="B99" s="694" t="s">
        <v>195</v>
      </c>
      <c r="C99" s="701">
        <v>-1335767</v>
      </c>
      <c r="D99" s="699">
        <f>Riepilogo!I26</f>
        <v>83173.26</v>
      </c>
      <c r="E99" s="697"/>
      <c r="F99" s="696"/>
      <c r="G99" s="696"/>
      <c r="H99" s="671">
        <f>D99/D100</f>
        <v>0.060756397360629905</v>
      </c>
      <c r="I99" s="724"/>
    </row>
    <row r="100" spans="2:9" ht="18" customHeight="1">
      <c r="B100" s="705"/>
      <c r="C100" s="700">
        <f>SUM(C96:C99)</f>
        <v>3817841</v>
      </c>
      <c r="D100" s="696">
        <f>C96+C101</f>
        <v>1368963</v>
      </c>
      <c r="E100" s="697">
        <f>ROUND(D99/D100*C102,2)</f>
        <v>238433.5</v>
      </c>
      <c r="F100" s="696">
        <v>5515043</v>
      </c>
      <c r="G100" s="696">
        <v>423162</v>
      </c>
      <c r="H100" s="671">
        <f>H99*C102</f>
        <v>238433.49941720848</v>
      </c>
      <c r="I100" s="724"/>
    </row>
    <row r="101" spans="2:9" ht="18" customHeight="1">
      <c r="B101" s="1110" t="s">
        <v>705</v>
      </c>
      <c r="C101" s="834">
        <v>106577</v>
      </c>
      <c r="D101" s="696"/>
      <c r="E101" s="697"/>
      <c r="F101" s="696"/>
      <c r="G101" s="696"/>
      <c r="H101" s="671"/>
      <c r="I101" s="724"/>
    </row>
    <row r="102" spans="2:9" ht="18" customHeight="1">
      <c r="B102" s="1134"/>
      <c r="C102" s="701">
        <f>C100+C101</f>
        <v>3924418</v>
      </c>
      <c r="D102" s="699"/>
      <c r="E102" s="1136"/>
      <c r="F102" s="699"/>
      <c r="G102" s="699"/>
      <c r="H102" s="671"/>
      <c r="I102" s="724"/>
    </row>
    <row r="103" spans="2:7" ht="15" customHeight="1">
      <c r="B103" s="632"/>
      <c r="C103" s="637"/>
      <c r="D103" s="638"/>
      <c r="E103" s="656"/>
      <c r="F103" s="638"/>
      <c r="G103" s="638"/>
    </row>
    <row r="104" spans="2:7" ht="18" customHeight="1">
      <c r="B104" s="1103" t="str">
        <f>Riepilogo!D46</f>
        <v>Walking Pipe S.p.A. in liquidazione</v>
      </c>
      <c r="C104" s="1132" t="s">
        <v>414</v>
      </c>
      <c r="D104" s="707"/>
      <c r="E104" s="1133"/>
      <c r="F104" s="707"/>
      <c r="G104" s="707"/>
    </row>
    <row r="105" spans="2:7" ht="18" customHeight="1">
      <c r="B105" s="694" t="s">
        <v>192</v>
      </c>
      <c r="C105" s="700">
        <v>2010350</v>
      </c>
      <c r="D105" s="696"/>
      <c r="E105" s="697"/>
      <c r="F105" s="696"/>
      <c r="G105" s="696"/>
    </row>
    <row r="106" spans="2:7" ht="18" customHeight="1">
      <c r="B106" s="694" t="s">
        <v>193</v>
      </c>
      <c r="C106" s="700">
        <v>-2</v>
      </c>
      <c r="D106" s="696"/>
      <c r="E106" s="697"/>
      <c r="F106" s="696"/>
      <c r="G106" s="696"/>
    </row>
    <row r="107" spans="2:9" ht="18" customHeight="1">
      <c r="B107" s="694" t="s">
        <v>449</v>
      </c>
      <c r="C107" s="700">
        <v>-31328</v>
      </c>
      <c r="D107" s="703" t="s">
        <v>461</v>
      </c>
      <c r="E107" s="697"/>
      <c r="F107" s="696"/>
      <c r="G107" s="696"/>
      <c r="H107" s="671">
        <f>C105/D109</f>
        <v>1</v>
      </c>
      <c r="I107" s="724" t="s">
        <v>462</v>
      </c>
    </row>
    <row r="108" spans="2:9" ht="18" customHeight="1">
      <c r="B108" s="694" t="s">
        <v>195</v>
      </c>
      <c r="C108" s="701">
        <v>-420616</v>
      </c>
      <c r="D108" s="699">
        <f>Riepilogo!F46</f>
        <v>800000</v>
      </c>
      <c r="E108" s="697"/>
      <c r="F108" s="696"/>
      <c r="G108" s="696"/>
      <c r="H108" s="685">
        <f>D108/D109</f>
        <v>0.39794065709951004</v>
      </c>
      <c r="I108" s="724" t="s">
        <v>466</v>
      </c>
    </row>
    <row r="109" spans="2:9" ht="18" customHeight="1">
      <c r="B109" s="1134"/>
      <c r="C109" s="701">
        <f>SUM(C105:C108)</f>
        <v>1558404</v>
      </c>
      <c r="D109" s="699">
        <f>Riepilogo!F47</f>
        <v>2010350</v>
      </c>
      <c r="E109" s="1136">
        <f>ROUND(C109*D108/D109,2)</f>
        <v>620152.31</v>
      </c>
      <c r="F109" s="699">
        <v>2535259</v>
      </c>
      <c r="G109" s="699">
        <v>2824931</v>
      </c>
      <c r="H109" s="671">
        <f>H108*C109</f>
        <v>620152.3117865048</v>
      </c>
      <c r="I109" s="724" t="s">
        <v>467</v>
      </c>
    </row>
    <row r="110" spans="2:7" ht="15" customHeight="1">
      <c r="B110" s="633"/>
      <c r="C110" s="639"/>
      <c r="D110" s="640"/>
      <c r="E110" s="658"/>
      <c r="F110" s="640"/>
      <c r="G110" s="640"/>
    </row>
    <row r="111" spans="2:7" ht="18" customHeight="1">
      <c r="B111" s="1103" t="str">
        <f>+Riepilogo!D28</f>
        <v>Xeptagen S.p.A.</v>
      </c>
      <c r="C111" s="1132" t="s">
        <v>674</v>
      </c>
      <c r="D111" s="707"/>
      <c r="E111" s="1133"/>
      <c r="F111" s="707"/>
      <c r="G111" s="707"/>
    </row>
    <row r="112" spans="2:9" ht="18" customHeight="1">
      <c r="B112" s="694" t="s">
        <v>192</v>
      </c>
      <c r="C112" s="700">
        <v>1009295</v>
      </c>
      <c r="D112" s="696"/>
      <c r="E112" s="697"/>
      <c r="F112" s="696"/>
      <c r="G112" s="708"/>
      <c r="I112" s="664"/>
    </row>
    <row r="113" spans="2:7" ht="18" customHeight="1">
      <c r="B113" s="694" t="s">
        <v>193</v>
      </c>
      <c r="C113" s="700">
        <v>1</v>
      </c>
      <c r="D113" s="696"/>
      <c r="E113" s="697"/>
      <c r="F113" s="696"/>
      <c r="G113" s="696"/>
    </row>
    <row r="114" spans="2:9" ht="18" customHeight="1">
      <c r="B114" s="694" t="s">
        <v>194</v>
      </c>
      <c r="C114" s="700">
        <v>-640147</v>
      </c>
      <c r="D114" s="703" t="s">
        <v>461</v>
      </c>
      <c r="E114" s="697"/>
      <c r="F114" s="696"/>
      <c r="G114" s="696"/>
      <c r="H114" s="671">
        <f>C112/D116</f>
        <v>1</v>
      </c>
      <c r="I114" s="724" t="s">
        <v>462</v>
      </c>
    </row>
    <row r="115" spans="2:9" ht="18" customHeight="1">
      <c r="B115" s="694" t="s">
        <v>195</v>
      </c>
      <c r="C115" s="701">
        <v>-204435</v>
      </c>
      <c r="D115" s="699">
        <f>Riepilogo!F28</f>
        <v>216278</v>
      </c>
      <c r="E115" s="697"/>
      <c r="F115" s="696"/>
      <c r="G115" s="696"/>
      <c r="H115" s="685">
        <f>D115/D116</f>
        <v>0.21428620968101497</v>
      </c>
      <c r="I115" s="724" t="s">
        <v>466</v>
      </c>
    </row>
    <row r="116" spans="2:9" ht="18" customHeight="1">
      <c r="B116" s="1137"/>
      <c r="C116" s="701">
        <f>SUM(C112:C115)</f>
        <v>164714</v>
      </c>
      <c r="D116" s="1141">
        <f>Riepilogo!F29</f>
        <v>1009295</v>
      </c>
      <c r="E116" s="1136">
        <f>ROUND(C116*D115/D116,2)</f>
        <v>35295.94</v>
      </c>
      <c r="F116" s="699">
        <v>302374</v>
      </c>
      <c r="G116" s="699">
        <v>157670</v>
      </c>
      <c r="H116" s="671">
        <f>H115*C116</f>
        <v>35295.9387413987</v>
      </c>
      <c r="I116" s="724" t="s">
        <v>467</v>
      </c>
    </row>
    <row r="117" spans="2:7" ht="15" customHeight="1">
      <c r="B117" s="632"/>
      <c r="C117" s="637"/>
      <c r="D117" s="638"/>
      <c r="E117" s="656"/>
      <c r="F117" s="638"/>
      <c r="G117" s="638"/>
    </row>
    <row r="118" spans="2:7" ht="18" customHeight="1">
      <c r="B118" s="1103" t="str">
        <f>Riepilogo!D30</f>
        <v>Zen Fonderie S.r.l.</v>
      </c>
      <c r="C118" s="1132" t="s">
        <v>674</v>
      </c>
      <c r="D118" s="1107"/>
      <c r="E118" s="1138"/>
      <c r="F118" s="1107"/>
      <c r="G118" s="1107"/>
    </row>
    <row r="119" spans="2:7" ht="18" customHeight="1">
      <c r="B119" s="694" t="s">
        <v>192</v>
      </c>
      <c r="C119" s="700">
        <v>222378</v>
      </c>
      <c r="D119" s="696"/>
      <c r="E119" s="697"/>
      <c r="F119" s="696"/>
      <c r="G119" s="696"/>
    </row>
    <row r="120" spans="2:7" ht="18" customHeight="1">
      <c r="B120" s="694" t="s">
        <v>193</v>
      </c>
      <c r="C120" s="700">
        <f>1927622+8063+153173</f>
        <v>2088858</v>
      </c>
      <c r="D120" s="696"/>
      <c r="E120" s="697"/>
      <c r="F120" s="696"/>
      <c r="G120" s="696"/>
    </row>
    <row r="121" spans="2:7" ht="18" customHeight="1">
      <c r="B121" s="694" t="s">
        <v>449</v>
      </c>
      <c r="C121" s="700">
        <v>0</v>
      </c>
      <c r="D121" s="703" t="s">
        <v>460</v>
      </c>
      <c r="E121" s="697"/>
      <c r="F121" s="696"/>
      <c r="G121" s="696"/>
    </row>
    <row r="122" spans="2:9" ht="18" customHeight="1">
      <c r="B122" s="694" t="s">
        <v>195</v>
      </c>
      <c r="C122" s="701">
        <v>143564</v>
      </c>
      <c r="D122" s="699">
        <f>Riepilogo!I30</f>
        <v>63378</v>
      </c>
      <c r="E122" s="697"/>
      <c r="F122" s="696"/>
      <c r="G122" s="696"/>
      <c r="H122" s="685">
        <f>D122/D123</f>
        <v>0.28500121414888163</v>
      </c>
      <c r="I122" s="724" t="s">
        <v>466</v>
      </c>
    </row>
    <row r="123" spans="2:9" ht="18" customHeight="1">
      <c r="B123" s="1137"/>
      <c r="C123" s="701">
        <f>SUM(C119:C122)</f>
        <v>2454800</v>
      </c>
      <c r="D123" s="699">
        <f>Riepilogo!E30</f>
        <v>222378</v>
      </c>
      <c r="E123" s="1136">
        <f>ROUND(C123*D122/D123,2)</f>
        <v>699620.98</v>
      </c>
      <c r="F123" s="699">
        <v>19574569</v>
      </c>
      <c r="G123" s="699">
        <v>24780066</v>
      </c>
      <c r="H123" s="671">
        <f>H122*C123</f>
        <v>699620.9804926746</v>
      </c>
      <c r="I123" s="724" t="s">
        <v>467</v>
      </c>
    </row>
    <row r="124" spans="2:9" ht="15" customHeight="1">
      <c r="B124" s="632"/>
      <c r="C124" s="637"/>
      <c r="D124" s="638"/>
      <c r="E124" s="656"/>
      <c r="F124" s="638"/>
      <c r="G124" s="638"/>
      <c r="I124" s="666"/>
    </row>
    <row r="125" spans="2:9" ht="16.5" customHeight="1">
      <c r="B125" s="646" t="str">
        <f>Riepilogo!B33</f>
        <v>d) available for sale</v>
      </c>
      <c r="C125" s="637"/>
      <c r="D125" s="638"/>
      <c r="E125" s="656"/>
      <c r="F125" s="638"/>
      <c r="G125" s="638"/>
      <c r="I125" s="666"/>
    </row>
    <row r="126" spans="2:7" ht="15" customHeight="1">
      <c r="B126" s="630"/>
      <c r="C126" s="637"/>
      <c r="D126" s="638"/>
      <c r="E126" s="656"/>
      <c r="F126" s="638"/>
      <c r="G126" s="638"/>
    </row>
    <row r="127" spans="2:8" ht="18" customHeight="1">
      <c r="B127" s="1142" t="str">
        <f>Riepilogo!D34</f>
        <v>H-Farm S.p.A.</v>
      </c>
      <c r="C127" s="1132" t="s">
        <v>674</v>
      </c>
      <c r="D127" s="1107"/>
      <c r="E127" s="1138"/>
      <c r="F127" s="1107"/>
      <c r="G127" s="1107"/>
      <c r="H127" s="664"/>
    </row>
    <row r="128" spans="2:7" ht="18" customHeight="1">
      <c r="B128" s="694" t="s">
        <v>192</v>
      </c>
      <c r="C128" s="700">
        <v>8924165</v>
      </c>
      <c r="D128" s="696"/>
      <c r="E128" s="697"/>
      <c r="F128" s="696"/>
      <c r="G128" s="703"/>
    </row>
    <row r="129" spans="2:7" ht="18" customHeight="1">
      <c r="B129" s="694" t="s">
        <v>193</v>
      </c>
      <c r="C129" s="700">
        <f>35100378+4054+1+834029</f>
        <v>35938462</v>
      </c>
      <c r="D129" s="696"/>
      <c r="E129" s="697"/>
      <c r="F129" s="696"/>
      <c r="G129" s="696"/>
    </row>
    <row r="130" spans="2:9" ht="18" customHeight="1">
      <c r="B130" s="694" t="s">
        <v>449</v>
      </c>
      <c r="C130" s="700">
        <v>-524028</v>
      </c>
      <c r="D130" s="703" t="s">
        <v>461</v>
      </c>
      <c r="E130" s="697"/>
      <c r="F130" s="696"/>
      <c r="G130" s="696"/>
      <c r="H130" s="671">
        <f>C128/D132</f>
        <v>0.1</v>
      </c>
      <c r="I130" s="724" t="s">
        <v>462</v>
      </c>
    </row>
    <row r="131" spans="2:9" ht="18" customHeight="1">
      <c r="B131" s="694" t="s">
        <v>195</v>
      </c>
      <c r="C131" s="701">
        <v>-6412063</v>
      </c>
      <c r="D131" s="699">
        <f>Riepilogo!F34</f>
        <v>1785000</v>
      </c>
      <c r="E131" s="697"/>
      <c r="F131" s="696"/>
      <c r="G131" s="696"/>
      <c r="H131" s="685">
        <f>D131/D132</f>
        <v>0.02000187132353559</v>
      </c>
      <c r="I131" s="724" t="s">
        <v>466</v>
      </c>
    </row>
    <row r="132" spans="2:9" ht="18" customHeight="1">
      <c r="B132" s="1137"/>
      <c r="C132" s="701">
        <f>SUM(C128:C131)</f>
        <v>37926536</v>
      </c>
      <c r="D132" s="699">
        <f>Riepilogo!F35</f>
        <v>89241650</v>
      </c>
      <c r="E132" s="1136">
        <f>ROUND(C132*D131/D132,2)</f>
        <v>758601.69</v>
      </c>
      <c r="F132" s="699">
        <v>49172662</v>
      </c>
      <c r="G132" s="699">
        <v>2821686</v>
      </c>
      <c r="H132" s="671">
        <f>H131*C132</f>
        <v>758601.6928194403</v>
      </c>
      <c r="I132" s="724" t="s">
        <v>467</v>
      </c>
    </row>
    <row r="133" spans="2:7" ht="15" customHeight="1">
      <c r="B133" s="632"/>
      <c r="C133" s="637"/>
      <c r="D133" s="638"/>
      <c r="E133" s="656"/>
      <c r="F133" s="638"/>
      <c r="G133" s="638"/>
    </row>
    <row r="134" spans="2:7" ht="18" customHeight="1">
      <c r="B134" s="1142" t="str">
        <f>Riepilogo!D36</f>
        <v>WearIT S.r.l.</v>
      </c>
      <c r="C134" s="1132" t="s">
        <v>674</v>
      </c>
      <c r="D134" s="1107"/>
      <c r="E134" s="1138"/>
      <c r="F134" s="1107"/>
      <c r="G134" s="1107"/>
    </row>
    <row r="135" spans="2:7" ht="18" customHeight="1">
      <c r="B135" s="694" t="s">
        <v>192</v>
      </c>
      <c r="C135" s="695">
        <v>77153.1</v>
      </c>
      <c r="D135" s="696"/>
      <c r="E135" s="697"/>
      <c r="F135" s="696"/>
      <c r="G135" s="696"/>
    </row>
    <row r="136" spans="2:7" ht="18" customHeight="1">
      <c r="B136" s="694" t="s">
        <v>193</v>
      </c>
      <c r="C136" s="695">
        <f>3404089+845130</f>
        <v>4249219</v>
      </c>
      <c r="D136" s="696"/>
      <c r="E136" s="697"/>
      <c r="F136" s="696"/>
      <c r="G136" s="696"/>
    </row>
    <row r="137" spans="2:7" ht="18" customHeight="1">
      <c r="B137" s="694" t="s">
        <v>449</v>
      </c>
      <c r="C137" s="695">
        <v>-3215579</v>
      </c>
      <c r="D137" s="703" t="s">
        <v>460</v>
      </c>
      <c r="E137" s="697"/>
      <c r="F137" s="696"/>
      <c r="G137" s="696"/>
    </row>
    <row r="138" spans="2:9" ht="18" customHeight="1">
      <c r="B138" s="694" t="s">
        <v>195</v>
      </c>
      <c r="C138" s="698">
        <v>-701043</v>
      </c>
      <c r="D138" s="696">
        <f>Riepilogo!I36</f>
        <v>4166.67</v>
      </c>
      <c r="E138" s="697"/>
      <c r="F138" s="696"/>
      <c r="G138" s="696"/>
      <c r="H138" s="685">
        <f>D138/D139</f>
        <v>0.054005218196028416</v>
      </c>
      <c r="I138" s="724" t="s">
        <v>466</v>
      </c>
    </row>
    <row r="139" spans="2:10" ht="18" customHeight="1">
      <c r="B139" s="1134"/>
      <c r="C139" s="698">
        <f>SUM(C135:C138)</f>
        <v>409750.0999999996</v>
      </c>
      <c r="D139" s="1141">
        <f>Riepilogo!E36</f>
        <v>77153.1</v>
      </c>
      <c r="E139" s="1136">
        <f>ROUND(C139*D138/D139,2)</f>
        <v>22128.64</v>
      </c>
      <c r="F139" s="699">
        <v>2397545</v>
      </c>
      <c r="G139" s="699">
        <v>705407</v>
      </c>
      <c r="H139" s="671">
        <f>H138*C139</f>
        <v>22128.643556344443</v>
      </c>
      <c r="I139" s="724" t="s">
        <v>467</v>
      </c>
      <c r="J139" s="665"/>
    </row>
    <row r="140" spans="2:7" ht="15" customHeight="1">
      <c r="B140" s="630"/>
      <c r="C140" s="637"/>
      <c r="D140" s="638"/>
      <c r="E140" s="656"/>
      <c r="F140" s="638"/>
      <c r="G140" s="638"/>
    </row>
    <row r="141" spans="2:7" ht="16.5" customHeight="1">
      <c r="B141" s="645" t="str">
        <f>Riepilogo!B51</f>
        <v>MERCHANT BANK - GESTIONE PATRIMONIO DESTINATO</v>
      </c>
      <c r="C141" s="655"/>
      <c r="D141" s="655"/>
      <c r="E141" s="656"/>
      <c r="F141" s="655"/>
      <c r="G141" s="655"/>
    </row>
    <row r="142" spans="2:7" ht="15" customHeight="1">
      <c r="B142" s="644"/>
      <c r="C142" s="655"/>
      <c r="D142" s="655"/>
      <c r="E142" s="656"/>
      <c r="F142" s="655"/>
      <c r="G142" s="655"/>
    </row>
    <row r="143" spans="2:7" ht="16.5" customHeight="1">
      <c r="B143" s="646" t="str">
        <f>Riepilogo!B52</f>
        <v>e) attività non correnti e gruppi di attività in via di dismissione</v>
      </c>
      <c r="C143" s="655"/>
      <c r="D143" s="655"/>
      <c r="E143" s="656"/>
      <c r="F143" s="655"/>
      <c r="G143" s="655"/>
    </row>
    <row r="144" spans="2:7" ht="15" customHeight="1">
      <c r="B144" s="631"/>
      <c r="C144" s="657"/>
      <c r="D144" s="657"/>
      <c r="E144" s="658"/>
      <c r="F144" s="657"/>
      <c r="G144" s="657"/>
    </row>
    <row r="145" spans="1:8" ht="18" customHeight="1">
      <c r="A145" s="1099"/>
      <c r="B145" s="1143" t="str">
        <f>Riepilogo!D53</f>
        <v>Bellelli Engineering S.r.l.</v>
      </c>
      <c r="C145" s="1144" t="s">
        <v>674</v>
      </c>
      <c r="D145" s="1145"/>
      <c r="E145" s="1146"/>
      <c r="F145" s="1147"/>
      <c r="G145" s="1147"/>
      <c r="H145" s="686"/>
    </row>
    <row r="146" spans="2:7" ht="18" customHeight="1">
      <c r="B146" s="709" t="s">
        <v>192</v>
      </c>
      <c r="C146" s="710">
        <v>1282000</v>
      </c>
      <c r="D146" s="711"/>
      <c r="E146" s="712"/>
      <c r="F146" s="711"/>
      <c r="G146" s="711"/>
    </row>
    <row r="147" spans="2:7" ht="18" customHeight="1">
      <c r="B147" s="709" t="s">
        <v>193</v>
      </c>
      <c r="C147" s="710">
        <f>718000+83146+1117206</f>
        <v>1918352</v>
      </c>
      <c r="D147" s="711"/>
      <c r="E147" s="712"/>
      <c r="F147" s="711"/>
      <c r="G147" s="711"/>
    </row>
    <row r="148" spans="2:9" ht="18" customHeight="1">
      <c r="B148" s="709" t="s">
        <v>449</v>
      </c>
      <c r="C148" s="710">
        <v>0</v>
      </c>
      <c r="D148" s="726" t="s">
        <v>460</v>
      </c>
      <c r="E148" s="712"/>
      <c r="F148" s="711"/>
      <c r="G148" s="711"/>
      <c r="H148" s="671">
        <f>C146/D150</f>
        <v>1</v>
      </c>
      <c r="I148" s="724" t="s">
        <v>462</v>
      </c>
    </row>
    <row r="149" spans="2:9" ht="18" customHeight="1">
      <c r="B149" s="709" t="s">
        <v>195</v>
      </c>
      <c r="C149" s="713">
        <v>-3067572</v>
      </c>
      <c r="D149" s="714">
        <f>Riepilogo!I53</f>
        <v>282000</v>
      </c>
      <c r="E149" s="712"/>
      <c r="F149" s="711"/>
      <c r="G149" s="711"/>
      <c r="H149" s="685">
        <f>D149/D150</f>
        <v>0.21996879875195008</v>
      </c>
      <c r="I149" s="724" t="s">
        <v>466</v>
      </c>
    </row>
    <row r="150" spans="2:9" ht="18" customHeight="1">
      <c r="B150" s="1148"/>
      <c r="C150" s="713">
        <f>SUM(C146:C149)</f>
        <v>132780</v>
      </c>
      <c r="D150" s="714">
        <v>1282000</v>
      </c>
      <c r="E150" s="1149">
        <f>ROUND(C150*D149/D150,2)</f>
        <v>29207.46</v>
      </c>
      <c r="F150" s="714">
        <v>35100929</v>
      </c>
      <c r="G150" s="714">
        <v>22397007</v>
      </c>
      <c r="H150" s="671">
        <f>H149*C150</f>
        <v>29207.457098283932</v>
      </c>
      <c r="I150" s="724" t="s">
        <v>467</v>
      </c>
    </row>
    <row r="151" spans="2:7" ht="15" customHeight="1">
      <c r="B151" s="630"/>
      <c r="C151" s="637"/>
      <c r="D151" s="638"/>
      <c r="E151" s="656"/>
      <c r="F151" s="638"/>
      <c r="G151" s="638"/>
    </row>
    <row r="152" spans="2:8" ht="16.5" customHeight="1">
      <c r="B152" s="645" t="str">
        <f>Riepilogo!B58</f>
        <v>NON MERCHANT BANK - GESTIONE VENETO SVILUPPO</v>
      </c>
      <c r="C152" s="655"/>
      <c r="D152" s="655"/>
      <c r="E152" s="656"/>
      <c r="F152" s="655"/>
      <c r="G152" s="655"/>
      <c r="H152" s="664"/>
    </row>
    <row r="153" spans="2:8" ht="15" customHeight="1">
      <c r="B153" s="644"/>
      <c r="C153" s="655"/>
      <c r="D153" s="655"/>
      <c r="E153" s="656"/>
      <c r="F153" s="655"/>
      <c r="G153" s="655"/>
      <c r="H153" s="664"/>
    </row>
    <row r="154" spans="2:8" ht="16.5" customHeight="1">
      <c r="B154" s="646" t="str">
        <f>Riepilogo!B63</f>
        <v>b) collegate</v>
      </c>
      <c r="C154" s="655"/>
      <c r="D154" s="655"/>
      <c r="E154" s="656"/>
      <c r="F154" s="655"/>
      <c r="G154" s="655"/>
      <c r="H154" s="664"/>
    </row>
    <row r="155" spans="2:8" ht="15" customHeight="1">
      <c r="B155" s="631"/>
      <c r="C155" s="657"/>
      <c r="D155" s="657"/>
      <c r="E155" s="658"/>
      <c r="F155" s="657"/>
      <c r="G155" s="657"/>
      <c r="H155" s="664"/>
    </row>
    <row r="156" spans="1:7" ht="18" customHeight="1">
      <c r="A156" s="1099"/>
      <c r="B156" s="1150" t="str">
        <f>Riepilogo!D67</f>
        <v>APVS S.r.l.</v>
      </c>
      <c r="C156" s="1151" t="s">
        <v>704</v>
      </c>
      <c r="D156" s="1152"/>
      <c r="E156" s="1153"/>
      <c r="F156" s="1152"/>
      <c r="G156" s="1152"/>
    </row>
    <row r="157" spans="2:7" ht="18" customHeight="1">
      <c r="B157" s="641" t="s">
        <v>192</v>
      </c>
      <c r="C157" s="659">
        <v>100000</v>
      </c>
      <c r="D157" s="660"/>
      <c r="E157" s="677"/>
      <c r="F157" s="660"/>
      <c r="G157" s="660"/>
    </row>
    <row r="158" spans="2:7" ht="18" customHeight="1">
      <c r="B158" s="641" t="s">
        <v>193</v>
      </c>
      <c r="C158" s="659">
        <f>25886000+20000+93797</f>
        <v>25999797</v>
      </c>
      <c r="D158" s="660"/>
      <c r="E158" s="677"/>
      <c r="F158" s="660"/>
      <c r="G158" s="660"/>
    </row>
    <row r="159" spans="2:7" ht="18" customHeight="1">
      <c r="B159" s="641" t="s">
        <v>449</v>
      </c>
      <c r="C159" s="659">
        <v>0</v>
      </c>
      <c r="D159" s="660"/>
      <c r="E159" s="677"/>
      <c r="F159" s="660"/>
      <c r="G159" s="660"/>
    </row>
    <row r="160" spans="2:7" ht="18" customHeight="1">
      <c r="B160" s="641" t="s">
        <v>195</v>
      </c>
      <c r="C160" s="661">
        <v>1982838</v>
      </c>
      <c r="D160" s="660"/>
      <c r="E160" s="677"/>
      <c r="F160" s="660"/>
      <c r="G160" s="660"/>
    </row>
    <row r="161" spans="2:7" ht="18" customHeight="1">
      <c r="B161" s="643"/>
      <c r="C161" s="659">
        <f>SUM(C157:C160)</f>
        <v>28082635</v>
      </c>
      <c r="D161" s="678" t="s">
        <v>460</v>
      </c>
      <c r="E161" s="677"/>
      <c r="F161" s="660"/>
      <c r="G161" s="660"/>
    </row>
    <row r="162" spans="2:9" ht="18" customHeight="1">
      <c r="B162" s="642" t="s">
        <v>564</v>
      </c>
      <c r="C162" s="661">
        <v>-1982000</v>
      </c>
      <c r="D162" s="662">
        <f>Riepilogo!I67</f>
        <v>51000</v>
      </c>
      <c r="E162" s="677"/>
      <c r="F162" s="660"/>
      <c r="G162" s="660"/>
      <c r="H162" s="685">
        <f>D162/D163</f>
        <v>0.51</v>
      </c>
      <c r="I162" s="724" t="s">
        <v>466</v>
      </c>
    </row>
    <row r="163" spans="2:9" ht="18" customHeight="1">
      <c r="B163" s="1154"/>
      <c r="C163" s="661">
        <f>SUM(C161:C162)</f>
        <v>26100635</v>
      </c>
      <c r="D163" s="662">
        <f>Riepilogo!E67</f>
        <v>100000</v>
      </c>
      <c r="E163" s="1155">
        <f>ROUND(C163*D162/D163,2)</f>
        <v>13311323.85</v>
      </c>
      <c r="F163" s="662">
        <v>27697452</v>
      </c>
      <c r="G163" s="662">
        <f>2+1677710+244</f>
        <v>1677956</v>
      </c>
      <c r="H163" s="671">
        <f>H162*C163</f>
        <v>13311323.85</v>
      </c>
      <c r="I163" s="724" t="s">
        <v>467</v>
      </c>
    </row>
    <row r="164" spans="2:7" ht="15" customHeight="1">
      <c r="B164" s="632"/>
      <c r="C164" s="637"/>
      <c r="D164" s="638"/>
      <c r="E164" s="656"/>
      <c r="F164" s="638"/>
      <c r="G164" s="638"/>
    </row>
    <row r="165" spans="2:7" ht="16.5" customHeight="1">
      <c r="B165" s="646" t="str">
        <f>Riepilogo!B66</f>
        <v>c) joint venture</v>
      </c>
      <c r="C165" s="637"/>
      <c r="D165" s="638"/>
      <c r="E165" s="656"/>
      <c r="F165" s="638"/>
      <c r="G165" s="638"/>
    </row>
    <row r="166" spans="2:14" ht="15" customHeight="1">
      <c r="B166" s="630"/>
      <c r="C166" s="637"/>
      <c r="D166" s="638"/>
      <c r="E166" s="656"/>
      <c r="F166" s="638"/>
      <c r="G166" s="638"/>
      <c r="N166" s="667"/>
    </row>
    <row r="167" spans="2:8" ht="18" customHeight="1">
      <c r="B167" s="1156" t="str">
        <f>Riepilogo!D69</f>
        <v>Enrive S.p.A.</v>
      </c>
      <c r="C167" s="1151" t="s">
        <v>414</v>
      </c>
      <c r="D167" s="1152"/>
      <c r="E167" s="1153"/>
      <c r="F167" s="1152"/>
      <c r="G167" s="1152"/>
      <c r="H167" s="686"/>
    </row>
    <row r="168" spans="2:7" ht="18" customHeight="1">
      <c r="B168" s="641" t="s">
        <v>192</v>
      </c>
      <c r="C168" s="659">
        <v>5767000</v>
      </c>
      <c r="D168" s="660"/>
      <c r="E168" s="677"/>
      <c r="F168" s="660"/>
      <c r="G168" s="660"/>
    </row>
    <row r="169" spans="2:7" ht="18" customHeight="1">
      <c r="B169" s="641" t="s">
        <v>193</v>
      </c>
      <c r="C169" s="659">
        <f>-4593</f>
        <v>-4593</v>
      </c>
      <c r="D169" s="660"/>
      <c r="E169" s="677"/>
      <c r="F169" s="660"/>
      <c r="G169" s="660"/>
    </row>
    <row r="170" spans="2:9" ht="18" customHeight="1">
      <c r="B170" s="641" t="s">
        <v>449</v>
      </c>
      <c r="C170" s="659">
        <v>-20346</v>
      </c>
      <c r="D170" s="678" t="s">
        <v>461</v>
      </c>
      <c r="E170" s="677"/>
      <c r="F170" s="660"/>
      <c r="G170" s="660"/>
      <c r="H170" s="671">
        <f>C168/D172</f>
        <v>1.3205862147927638</v>
      </c>
      <c r="I170" s="724" t="s">
        <v>462</v>
      </c>
    </row>
    <row r="171" spans="2:9" ht="18" customHeight="1">
      <c r="B171" s="641" t="s">
        <v>195</v>
      </c>
      <c r="C171" s="661">
        <v>79193</v>
      </c>
      <c r="D171" s="662">
        <f>Riepilogo!F69</f>
        <v>2183500</v>
      </c>
      <c r="E171" s="677"/>
      <c r="F171" s="660"/>
      <c r="G171" s="660"/>
      <c r="H171" s="685">
        <f>D171/D172</f>
        <v>0.5</v>
      </c>
      <c r="I171" s="724" t="s">
        <v>466</v>
      </c>
    </row>
    <row r="172" spans="2:9" ht="18" customHeight="1">
      <c r="B172" s="1154"/>
      <c r="C172" s="661">
        <f>SUM(C168:C171)</f>
        <v>5821254</v>
      </c>
      <c r="D172" s="662">
        <f>Riepilogo!F70</f>
        <v>4367000</v>
      </c>
      <c r="E172" s="1155">
        <f>ROUND(C172*D171/D172,2)</f>
        <v>2910627</v>
      </c>
      <c r="F172" s="662">
        <v>10775562</v>
      </c>
      <c r="G172" s="662">
        <v>100154</v>
      </c>
      <c r="H172" s="671">
        <f>H171*C172</f>
        <v>2910627</v>
      </c>
      <c r="I172" s="724" t="s">
        <v>467</v>
      </c>
    </row>
    <row r="173" spans="2:14" ht="15" customHeight="1">
      <c r="B173" s="634"/>
      <c r="C173" s="639"/>
      <c r="D173" s="640"/>
      <c r="E173" s="658"/>
      <c r="F173" s="640"/>
      <c r="G173" s="640"/>
      <c r="N173" s="667"/>
    </row>
    <row r="174" spans="2:8" ht="18" customHeight="1">
      <c r="B174" s="1156" t="str">
        <f>Riepilogo!D60</f>
        <v>FVS S.G.R. S.p.A.</v>
      </c>
      <c r="C174" s="1151" t="s">
        <v>674</v>
      </c>
      <c r="D174" s="1152"/>
      <c r="E174" s="1153"/>
      <c r="F174" s="1152"/>
      <c r="G174" s="1152"/>
      <c r="H174" s="689" t="s">
        <v>463</v>
      </c>
    </row>
    <row r="175" spans="2:7" ht="18" customHeight="1">
      <c r="B175" s="641" t="s">
        <v>192</v>
      </c>
      <c r="C175" s="659">
        <v>2818220</v>
      </c>
      <c r="D175" s="660"/>
      <c r="E175" s="677"/>
      <c r="F175" s="660"/>
      <c r="G175" s="660"/>
    </row>
    <row r="176" spans="2:7" ht="18" customHeight="1">
      <c r="B176" s="641" t="s">
        <v>576</v>
      </c>
      <c r="C176" s="659">
        <f>-223216+4125</f>
        <v>-219091</v>
      </c>
      <c r="D176" s="660"/>
      <c r="E176" s="677"/>
      <c r="F176" s="660"/>
      <c r="G176" s="660"/>
    </row>
    <row r="177" spans="2:9" ht="18" customHeight="1">
      <c r="B177" s="641"/>
      <c r="C177" s="659"/>
      <c r="D177" s="678" t="s">
        <v>461</v>
      </c>
      <c r="E177" s="677"/>
      <c r="F177" s="660"/>
      <c r="G177" s="660"/>
      <c r="H177" s="671">
        <f>C175/D179</f>
        <v>1</v>
      </c>
      <c r="I177" s="724" t="s">
        <v>462</v>
      </c>
    </row>
    <row r="178" spans="2:9" ht="18" customHeight="1">
      <c r="B178" s="641" t="s">
        <v>195</v>
      </c>
      <c r="C178" s="661">
        <v>-140840</v>
      </c>
      <c r="D178" s="662">
        <f>Riepilogo!F60</f>
        <v>2818220</v>
      </c>
      <c r="E178" s="677"/>
      <c r="F178" s="660"/>
      <c r="G178" s="660"/>
      <c r="H178" s="685">
        <f>D178/D179</f>
        <v>1</v>
      </c>
      <c r="I178" s="724" t="s">
        <v>466</v>
      </c>
    </row>
    <row r="179" spans="2:9" ht="18" customHeight="1">
      <c r="B179" s="1154"/>
      <c r="C179" s="661">
        <f>SUM(C175:C178)</f>
        <v>2458289</v>
      </c>
      <c r="D179" s="662">
        <f>Riepilogo!F61</f>
        <v>2818220</v>
      </c>
      <c r="E179" s="1155">
        <f>ROUND(C179*D178/D179,2)</f>
        <v>2458289</v>
      </c>
      <c r="F179" s="662">
        <v>2734925</v>
      </c>
      <c r="G179" s="662">
        <f>1069015+21453</f>
        <v>1090468</v>
      </c>
      <c r="H179" s="671">
        <f>H178*C179</f>
        <v>2458289</v>
      </c>
      <c r="I179" s="724" t="s">
        <v>467</v>
      </c>
    </row>
    <row r="180" spans="2:9" ht="15" customHeight="1">
      <c r="B180" s="632"/>
      <c r="C180" s="637"/>
      <c r="D180" s="638"/>
      <c r="E180" s="656"/>
      <c r="F180" s="638"/>
      <c r="G180" s="638"/>
      <c r="H180" s="668"/>
      <c r="I180" s="668"/>
    </row>
    <row r="181" spans="2:9" ht="16.5" customHeight="1">
      <c r="B181" s="646" t="str">
        <f>Riepilogo!B72</f>
        <v>d) available for sale</v>
      </c>
      <c r="C181" s="637"/>
      <c r="D181" s="638"/>
      <c r="E181" s="656"/>
      <c r="F181" s="638"/>
      <c r="G181" s="638"/>
      <c r="H181" s="668"/>
      <c r="I181" s="668"/>
    </row>
    <row r="182" spans="2:14" ht="15" customHeight="1">
      <c r="B182" s="630"/>
      <c r="C182" s="637"/>
      <c r="D182" s="638"/>
      <c r="E182" s="656"/>
      <c r="F182" s="638"/>
      <c r="G182" s="638"/>
      <c r="I182" s="668"/>
      <c r="N182" s="667"/>
    </row>
    <row r="183" spans="2:9" ht="18" customHeight="1">
      <c r="B183" s="1157" t="str">
        <f>Riepilogo!D73</f>
        <v>Aeroporto di Treviso S.p.A. </v>
      </c>
      <c r="C183" s="1151" t="s">
        <v>674</v>
      </c>
      <c r="D183" s="1152"/>
      <c r="E183" s="1153"/>
      <c r="F183" s="1152"/>
      <c r="G183" s="1152"/>
      <c r="H183" s="664"/>
      <c r="I183" s="668"/>
    </row>
    <row r="184" spans="2:9" ht="18" customHeight="1">
      <c r="B184" s="641" t="s">
        <v>197</v>
      </c>
      <c r="C184" s="659">
        <v>13119840</v>
      </c>
      <c r="D184" s="660"/>
      <c r="E184" s="677"/>
      <c r="F184" s="660"/>
      <c r="G184" s="660"/>
      <c r="H184" s="669"/>
      <c r="I184" s="670"/>
    </row>
    <row r="185" spans="2:9" ht="18" customHeight="1">
      <c r="B185" s="641" t="s">
        <v>193</v>
      </c>
      <c r="C185" s="659">
        <f>594797+1682822</f>
        <v>2277619</v>
      </c>
      <c r="D185" s="660"/>
      <c r="E185" s="677"/>
      <c r="F185" s="660"/>
      <c r="G185" s="660"/>
      <c r="I185" s="668"/>
    </row>
    <row r="186" spans="2:9" ht="18" customHeight="1">
      <c r="B186" s="641" t="s">
        <v>449</v>
      </c>
      <c r="C186" s="679">
        <v>-2776112</v>
      </c>
      <c r="D186" s="678" t="s">
        <v>461</v>
      </c>
      <c r="E186" s="677"/>
      <c r="F186" s="660"/>
      <c r="G186" s="660"/>
      <c r="H186" s="671">
        <f>C184/D188</f>
        <v>10</v>
      </c>
      <c r="I186" s="724" t="s">
        <v>462</v>
      </c>
    </row>
    <row r="187" spans="2:9" ht="18" customHeight="1">
      <c r="B187" s="641" t="s">
        <v>195</v>
      </c>
      <c r="C187" s="661">
        <v>844102</v>
      </c>
      <c r="D187" s="662">
        <f>Riepilogo!F73</f>
        <v>131198</v>
      </c>
      <c r="E187" s="677"/>
      <c r="F187" s="660"/>
      <c r="G187" s="660"/>
      <c r="H187" s="685">
        <f>D187/D188</f>
        <v>0.09999969511823315</v>
      </c>
      <c r="I187" s="724" t="s">
        <v>466</v>
      </c>
    </row>
    <row r="188" spans="2:9" ht="18" customHeight="1">
      <c r="B188" s="1154"/>
      <c r="C188" s="661">
        <f>SUM(C184:C187)</f>
        <v>13465449</v>
      </c>
      <c r="D188" s="662">
        <f>Riepilogo!F74</f>
        <v>1311984</v>
      </c>
      <c r="E188" s="1155">
        <f>ROUND(C188*D187/D188,2)</f>
        <v>1346540.79</v>
      </c>
      <c r="F188" s="662">
        <v>41288151</v>
      </c>
      <c r="G188" s="662">
        <v>24246291</v>
      </c>
      <c r="H188" s="671">
        <f>H187*C188</f>
        <v>1346540.7946301175</v>
      </c>
      <c r="I188" s="724" t="s">
        <v>467</v>
      </c>
    </row>
    <row r="189" spans="2:7" ht="15" customHeight="1">
      <c r="B189" s="634"/>
      <c r="C189" s="639"/>
      <c r="D189" s="640"/>
      <c r="E189" s="658"/>
      <c r="F189" s="640"/>
      <c r="G189" s="640"/>
    </row>
    <row r="190" spans="2:7" ht="18" customHeight="1">
      <c r="B190" s="1157" t="str">
        <f>Riepilogo!D75</f>
        <v>Aeroporto Valerio Catullo di Verona Villafranca S.p.A.</v>
      </c>
      <c r="C190" s="1151" t="s">
        <v>674</v>
      </c>
      <c r="D190" s="1152"/>
      <c r="E190" s="1153"/>
      <c r="F190" s="1152"/>
      <c r="G190" s="1152"/>
    </row>
    <row r="191" spans="2:7" ht="18" customHeight="1">
      <c r="B191" s="641" t="s">
        <v>125</v>
      </c>
      <c r="C191" s="679">
        <v>52317408</v>
      </c>
      <c r="D191" s="660"/>
      <c r="E191" s="677"/>
      <c r="F191" s="660"/>
      <c r="G191" s="660"/>
    </row>
    <row r="192" spans="2:7" ht="18" customHeight="1">
      <c r="B192" s="641" t="s">
        <v>193</v>
      </c>
      <c r="C192" s="679">
        <f>15253332+881834+2283747</f>
        <v>18418913</v>
      </c>
      <c r="D192" s="660"/>
      <c r="E192" s="677"/>
      <c r="F192" s="660"/>
      <c r="G192" s="660"/>
    </row>
    <row r="193" spans="2:9" ht="18" customHeight="1">
      <c r="B193" s="641" t="s">
        <v>449</v>
      </c>
      <c r="C193" s="679">
        <v>-23450433</v>
      </c>
      <c r="D193" s="678" t="s">
        <v>461</v>
      </c>
      <c r="E193" s="677" t="s">
        <v>139</v>
      </c>
      <c r="F193" s="660"/>
      <c r="G193" s="660"/>
      <c r="H193" s="671">
        <f>C191/D195</f>
        <v>22</v>
      </c>
      <c r="I193" s="724" t="s">
        <v>462</v>
      </c>
    </row>
    <row r="194" spans="2:9" ht="18" customHeight="1">
      <c r="B194" s="641" t="s">
        <v>195</v>
      </c>
      <c r="C194" s="661">
        <v>195174</v>
      </c>
      <c r="D194" s="662">
        <f>Riepilogo!F75</f>
        <v>2348</v>
      </c>
      <c r="E194" s="677"/>
      <c r="F194" s="660"/>
      <c r="G194" s="660"/>
      <c r="H194" s="685">
        <f>D194/D195</f>
        <v>0.0009873577834742884</v>
      </c>
      <c r="I194" s="724" t="s">
        <v>466</v>
      </c>
    </row>
    <row r="195" spans="2:9" ht="18" customHeight="1">
      <c r="B195" s="1158"/>
      <c r="C195" s="661">
        <f>SUM(C191:C194)</f>
        <v>47481062</v>
      </c>
      <c r="D195" s="662">
        <f>Riepilogo!F76</f>
        <v>2378064</v>
      </c>
      <c r="E195" s="1155">
        <f>ROUND(C195*D194/D195,2)</f>
        <v>46880.8</v>
      </c>
      <c r="F195" s="662">
        <v>112614550</v>
      </c>
      <c r="G195" s="662">
        <v>38615172</v>
      </c>
      <c r="H195" s="671">
        <f>H194*C195</f>
        <v>46880.79613332526</v>
      </c>
      <c r="I195" s="724" t="s">
        <v>467</v>
      </c>
    </row>
    <row r="196" spans="2:7" ht="15" customHeight="1">
      <c r="B196" s="633"/>
      <c r="C196" s="639"/>
      <c r="D196" s="640"/>
      <c r="E196" s="658"/>
      <c r="F196" s="640"/>
      <c r="G196" s="640"/>
    </row>
    <row r="197" spans="1:7" ht="18" customHeight="1">
      <c r="A197" s="1099"/>
      <c r="B197" s="1157" t="str">
        <f>Riepilogo!D81</f>
        <v>Autodromo del Veneto S.p.A.</v>
      </c>
      <c r="C197" s="1151" t="s">
        <v>674</v>
      </c>
      <c r="D197" s="1152"/>
      <c r="E197" s="1153"/>
      <c r="F197" s="1152"/>
      <c r="G197" s="1152"/>
    </row>
    <row r="198" spans="2:7" ht="18" customHeight="1">
      <c r="B198" s="641" t="s">
        <v>192</v>
      </c>
      <c r="C198" s="679">
        <v>2722944</v>
      </c>
      <c r="D198" s="660"/>
      <c r="E198" s="677"/>
      <c r="F198" s="660"/>
      <c r="G198" s="660"/>
    </row>
    <row r="199" spans="2:7" ht="18" customHeight="1">
      <c r="B199" s="641" t="s">
        <v>193</v>
      </c>
      <c r="C199" s="679">
        <v>68551</v>
      </c>
      <c r="D199" s="660"/>
      <c r="E199" s="677"/>
      <c r="F199" s="660"/>
      <c r="G199" s="660"/>
    </row>
    <row r="200" spans="2:7" ht="18" customHeight="1">
      <c r="B200" s="642" t="s">
        <v>452</v>
      </c>
      <c r="C200" s="679">
        <v>35982296</v>
      </c>
      <c r="D200" s="660"/>
      <c r="E200" s="677"/>
      <c r="F200" s="660"/>
      <c r="G200" s="660"/>
    </row>
    <row r="201" spans="2:9" ht="18" customHeight="1">
      <c r="B201" s="641" t="s">
        <v>449</v>
      </c>
      <c r="C201" s="679">
        <v>-1288479</v>
      </c>
      <c r="D201" s="678" t="s">
        <v>461</v>
      </c>
      <c r="E201" s="687"/>
      <c r="F201" s="678"/>
      <c r="G201" s="678"/>
      <c r="H201" s="671">
        <f>C198/D203</f>
        <v>1</v>
      </c>
      <c r="I201" s="724" t="s">
        <v>462</v>
      </c>
    </row>
    <row r="202" spans="2:9" ht="18" customHeight="1">
      <c r="B202" s="641" t="s">
        <v>195</v>
      </c>
      <c r="C202" s="661">
        <v>-2303572</v>
      </c>
      <c r="D202" s="662">
        <f>Riepilogo!F81</f>
        <v>211920</v>
      </c>
      <c r="E202" s="677"/>
      <c r="F202" s="660"/>
      <c r="G202" s="660"/>
      <c r="H202" s="685">
        <f>D202/D203</f>
        <v>0.07782752785220702</v>
      </c>
      <c r="I202" s="724" t="s">
        <v>466</v>
      </c>
    </row>
    <row r="203" spans="2:9" ht="18" customHeight="1">
      <c r="B203" s="1158"/>
      <c r="C203" s="661">
        <f>SUM(C198:C202)</f>
        <v>35181740</v>
      </c>
      <c r="D203" s="662">
        <f>Riepilogo!F82</f>
        <v>2722944</v>
      </c>
      <c r="E203" s="1155">
        <f>ROUND(C203*D202/D203,2)</f>
        <v>2738107.85</v>
      </c>
      <c r="F203" s="662">
        <v>107810220</v>
      </c>
      <c r="G203" s="662">
        <v>535221</v>
      </c>
      <c r="H203" s="671">
        <f>H202*C203</f>
        <v>2738107.849739106</v>
      </c>
      <c r="I203" s="724" t="s">
        <v>467</v>
      </c>
    </row>
    <row r="204" spans="2:7" ht="15" customHeight="1">
      <c r="B204" s="633"/>
      <c r="C204" s="639"/>
      <c r="D204" s="640"/>
      <c r="E204" s="658"/>
      <c r="F204" s="640"/>
      <c r="G204" s="640"/>
    </row>
    <row r="205" spans="2:8" ht="18" customHeight="1">
      <c r="B205" s="1157" t="str">
        <f>Riepilogo!D83</f>
        <v>Banca Popolare Etica soc. coop. per azioni</v>
      </c>
      <c r="C205" s="1151" t="s">
        <v>674</v>
      </c>
      <c r="D205" s="1159"/>
      <c r="E205" s="1160"/>
      <c r="F205" s="1159"/>
      <c r="G205" s="1159"/>
      <c r="H205" s="689" t="s">
        <v>463</v>
      </c>
    </row>
    <row r="206" spans="2:7" ht="18" customHeight="1">
      <c r="B206" s="641" t="s">
        <v>125</v>
      </c>
      <c r="C206" s="659">
        <v>59379863</v>
      </c>
      <c r="D206" s="659"/>
      <c r="E206" s="677"/>
      <c r="F206" s="660"/>
      <c r="G206" s="678"/>
    </row>
    <row r="207" spans="2:10" ht="18" customHeight="1">
      <c r="B207" s="641" t="s">
        <v>193</v>
      </c>
      <c r="C207" s="659">
        <f>14621980+4642124+2590862</f>
        <v>21854966</v>
      </c>
      <c r="D207" s="660"/>
      <c r="E207" s="677"/>
      <c r="F207" s="660"/>
      <c r="G207" s="660"/>
      <c r="H207" s="802">
        <f>+D212*H211</f>
        <v>49717.5004186394</v>
      </c>
      <c r="I207" s="803">
        <f>+H207/C206</f>
        <v>0.0008372787996940882</v>
      </c>
      <c r="J207" s="804" t="e">
        <f>+H207/D206</f>
        <v>#DIV/0!</v>
      </c>
    </row>
    <row r="208" spans="2:7" ht="18" customHeight="1">
      <c r="B208" s="641" t="s">
        <v>449</v>
      </c>
      <c r="C208" s="659">
        <v>0</v>
      </c>
      <c r="D208" s="660"/>
      <c r="E208" s="677" t="s">
        <v>139</v>
      </c>
      <c r="F208" s="660"/>
      <c r="G208" s="660"/>
    </row>
    <row r="209" spans="2:10" ht="18" customHeight="1">
      <c r="B209" s="641" t="s">
        <v>195</v>
      </c>
      <c r="C209" s="680">
        <v>4317890</v>
      </c>
      <c r="D209" s="660"/>
      <c r="E209" s="677"/>
      <c r="F209" s="660"/>
      <c r="G209" s="660"/>
      <c r="J209" s="805">
        <f>+D206-H207</f>
        <v>-49717.5004186394</v>
      </c>
    </row>
    <row r="210" spans="2:10" ht="18" customHeight="1">
      <c r="B210" s="641"/>
      <c r="C210" s="659">
        <f>SUM(C206:C209)</f>
        <v>85552719</v>
      </c>
      <c r="D210" s="660"/>
      <c r="E210" s="677"/>
      <c r="F210" s="660"/>
      <c r="G210" s="660"/>
      <c r="H210" s="671"/>
      <c r="I210" s="724"/>
      <c r="J210" s="805"/>
    </row>
    <row r="211" spans="2:10" ht="18" customHeight="1">
      <c r="B211" s="641" t="s">
        <v>573</v>
      </c>
      <c r="C211" s="659">
        <v>0</v>
      </c>
      <c r="D211" s="678" t="s">
        <v>461</v>
      </c>
      <c r="E211" s="677"/>
      <c r="F211" s="660"/>
      <c r="G211" s="660"/>
      <c r="H211" s="671">
        <f>C206/D213</f>
        <v>52.50000044206906</v>
      </c>
      <c r="I211" s="724" t="s">
        <v>462</v>
      </c>
      <c r="J211" s="805"/>
    </row>
    <row r="212" spans="2:10" ht="18" customHeight="1">
      <c r="B212" s="641" t="s">
        <v>572</v>
      </c>
      <c r="C212" s="659">
        <v>-128455</v>
      </c>
      <c r="D212" s="1092">
        <f>Riepilogo!F83</f>
        <v>947</v>
      </c>
      <c r="E212" s="677"/>
      <c r="F212" s="660"/>
      <c r="G212" s="660"/>
      <c r="H212" s="685">
        <f>D212/D213</f>
        <v>0.0008372787996940882</v>
      </c>
      <c r="I212" s="724" t="s">
        <v>468</v>
      </c>
      <c r="J212" s="805"/>
    </row>
    <row r="213" spans="2:10" ht="18" customHeight="1">
      <c r="B213" s="1161"/>
      <c r="C213" s="661">
        <f>SUM(C210:C212)</f>
        <v>85424264</v>
      </c>
      <c r="D213" s="1092">
        <v>1131045</v>
      </c>
      <c r="E213" s="1155">
        <f>ROUND(C213*D212/D213,2)</f>
        <v>71523.93</v>
      </c>
      <c r="F213" s="662">
        <v>1556538630</v>
      </c>
      <c r="G213" s="662">
        <f>29795529+12696823</f>
        <v>42492352</v>
      </c>
      <c r="H213" s="671">
        <f>C213*H212</f>
        <v>71523.92522667091</v>
      </c>
      <c r="I213" s="724" t="s">
        <v>467</v>
      </c>
      <c r="J213" s="805"/>
    </row>
    <row r="214" spans="2:7" ht="15" customHeight="1">
      <c r="B214" s="633"/>
      <c r="C214" s="639"/>
      <c r="D214" s="1093"/>
      <c r="E214" s="658"/>
      <c r="F214" s="640"/>
      <c r="G214" s="640"/>
    </row>
    <row r="215" spans="2:7" ht="18" customHeight="1">
      <c r="B215" s="1157" t="str">
        <f>Riepilogo!D87</f>
        <v>Compagnia Investimenti e Sviluppo - C.I.S. S.p.A.</v>
      </c>
      <c r="C215" s="1151" t="s">
        <v>674</v>
      </c>
      <c r="D215" s="1152"/>
      <c r="E215" s="1153"/>
      <c r="F215" s="1152"/>
      <c r="G215" s="1152"/>
    </row>
    <row r="216" spans="2:7" ht="18" customHeight="1">
      <c r="B216" s="641" t="s">
        <v>125</v>
      </c>
      <c r="C216" s="659">
        <v>450729</v>
      </c>
      <c r="D216" s="660"/>
      <c r="E216" s="677"/>
      <c r="F216" s="660"/>
      <c r="G216" s="660"/>
    </row>
    <row r="217" spans="2:7" ht="18" customHeight="1">
      <c r="B217" s="641" t="s">
        <v>193</v>
      </c>
      <c r="C217" s="659">
        <v>455000</v>
      </c>
      <c r="D217" s="660"/>
      <c r="E217" s="677"/>
      <c r="F217" s="660"/>
      <c r="G217" s="660"/>
    </row>
    <row r="218" spans="2:7" ht="18" customHeight="1">
      <c r="B218" s="641" t="s">
        <v>198</v>
      </c>
      <c r="C218" s="659">
        <v>475297</v>
      </c>
      <c r="D218" s="660"/>
      <c r="E218" s="677"/>
      <c r="F218" s="660"/>
      <c r="G218" s="660"/>
    </row>
    <row r="219" spans="2:7" ht="18" customHeight="1">
      <c r="B219" s="641" t="s">
        <v>683</v>
      </c>
      <c r="C219" s="659">
        <f>-C218</f>
        <v>-475297</v>
      </c>
      <c r="D219" s="660"/>
      <c r="E219" s="677"/>
      <c r="F219" s="660"/>
      <c r="G219" s="660"/>
    </row>
    <row r="220" spans="2:9" ht="18" customHeight="1">
      <c r="B220" s="641" t="s">
        <v>449</v>
      </c>
      <c r="C220" s="659">
        <v>0</v>
      </c>
      <c r="D220" s="678" t="s">
        <v>461</v>
      </c>
      <c r="E220" s="677"/>
      <c r="F220" s="660"/>
      <c r="G220" s="660"/>
      <c r="H220" s="671">
        <f>C216/D222</f>
        <v>1</v>
      </c>
      <c r="I220" s="724" t="s">
        <v>462</v>
      </c>
    </row>
    <row r="221" spans="2:9" ht="18" customHeight="1">
      <c r="B221" s="641" t="s">
        <v>195</v>
      </c>
      <c r="C221" s="661">
        <v>-852893</v>
      </c>
      <c r="D221" s="662">
        <f>Riepilogo!F87</f>
        <v>14217</v>
      </c>
      <c r="E221" s="677" t="s">
        <v>139</v>
      </c>
      <c r="F221" s="660"/>
      <c r="G221" s="660"/>
      <c r="H221" s="685">
        <f>D221/D222</f>
        <v>0.031542234912774636</v>
      </c>
      <c r="I221" s="724" t="s">
        <v>466</v>
      </c>
    </row>
    <row r="222" spans="2:9" ht="18" customHeight="1">
      <c r="B222" s="1154"/>
      <c r="C222" s="661">
        <f>SUM(C216:C221)</f>
        <v>52836</v>
      </c>
      <c r="D222" s="662">
        <f>Riepilogo!F88</f>
        <v>450729</v>
      </c>
      <c r="E222" s="1155">
        <f>ROUND(C222*D221/D222,2)</f>
        <v>1666.57</v>
      </c>
      <c r="F222" s="662">
        <v>70373573</v>
      </c>
      <c r="G222" s="662">
        <f>1039281+10327+9704</f>
        <v>1059312</v>
      </c>
      <c r="H222" s="671">
        <f>H221*C222</f>
        <v>1666.5655238513607</v>
      </c>
      <c r="I222" s="724" t="s">
        <v>467</v>
      </c>
    </row>
    <row r="223" spans="2:7" ht="15" customHeight="1">
      <c r="B223" s="633"/>
      <c r="C223" s="639"/>
      <c r="D223" s="640"/>
      <c r="E223" s="658"/>
      <c r="F223" s="640"/>
      <c r="G223" s="640"/>
    </row>
    <row r="224" spans="1:8" s="664" customFormat="1" ht="18" customHeight="1">
      <c r="A224" s="1097"/>
      <c r="B224" s="1162" t="str">
        <f>Riepilogo!D89</f>
        <v>Expo Venice S.p.A.</v>
      </c>
      <c r="C224" s="1163" t="s">
        <v>414</v>
      </c>
      <c r="D224" s="1164" t="s">
        <v>459</v>
      </c>
      <c r="E224" s="1153"/>
      <c r="F224" s="1165"/>
      <c r="G224" s="1165"/>
      <c r="H224" s="686" t="s">
        <v>681</v>
      </c>
    </row>
    <row r="225" spans="2:7" ht="18" customHeight="1">
      <c r="B225" s="641" t="s">
        <v>192</v>
      </c>
      <c r="C225" s="659">
        <v>2071480</v>
      </c>
      <c r="D225" s="660"/>
      <c r="E225" s="677"/>
      <c r="F225" s="660"/>
      <c r="G225" s="660"/>
    </row>
    <row r="226" spans="2:7" ht="18" customHeight="1">
      <c r="B226" s="641" t="s">
        <v>193</v>
      </c>
      <c r="C226" s="659">
        <f>30000+1</f>
        <v>30001</v>
      </c>
      <c r="D226" s="660"/>
      <c r="E226" s="677"/>
      <c r="F226" s="660"/>
      <c r="G226" s="660"/>
    </row>
    <row r="227" spans="2:9" ht="18" customHeight="1">
      <c r="B227" s="641" t="s">
        <v>449</v>
      </c>
      <c r="C227" s="659">
        <v>-423311</v>
      </c>
      <c r="D227" s="678" t="s">
        <v>461</v>
      </c>
      <c r="E227" s="677"/>
      <c r="F227" s="660"/>
      <c r="G227" s="660"/>
      <c r="H227" s="671">
        <f>C225/D229</f>
        <v>10</v>
      </c>
      <c r="I227" s="724" t="s">
        <v>462</v>
      </c>
    </row>
    <row r="228" spans="2:9" ht="18" customHeight="1">
      <c r="B228" s="641" t="s">
        <v>195</v>
      </c>
      <c r="C228" s="661">
        <v>-12651520</v>
      </c>
      <c r="D228" s="662">
        <f>Riepilogo!F89</f>
        <v>12358</v>
      </c>
      <c r="E228" s="677"/>
      <c r="F228" s="660"/>
      <c r="G228" s="660"/>
      <c r="H228" s="685">
        <f>D228/D229</f>
        <v>0.05965782918493058</v>
      </c>
      <c r="I228" s="724" t="s">
        <v>466</v>
      </c>
    </row>
    <row r="229" spans="2:9" ht="18" customHeight="1">
      <c r="B229" s="1161"/>
      <c r="C229" s="661">
        <f>SUM(C225:C228)</f>
        <v>-10973350</v>
      </c>
      <c r="D229" s="662">
        <f>Riepilogo!F90</f>
        <v>207148</v>
      </c>
      <c r="E229" s="1155">
        <f>ROUND(C229*D228/D229,2)</f>
        <v>-654646.24</v>
      </c>
      <c r="F229" s="662">
        <v>1595154</v>
      </c>
      <c r="G229" s="662">
        <v>12161622</v>
      </c>
      <c r="H229" s="671">
        <f>H228*C229</f>
        <v>-654646.239886458</v>
      </c>
      <c r="I229" s="724" t="s">
        <v>467</v>
      </c>
    </row>
    <row r="230" spans="2:7" ht="15" customHeight="1">
      <c r="B230" s="634"/>
      <c r="C230" s="639"/>
      <c r="D230" s="640"/>
      <c r="E230" s="658"/>
      <c r="F230" s="640"/>
      <c r="G230" s="640"/>
    </row>
    <row r="231" spans="1:8" ht="18" customHeight="1">
      <c r="A231" s="1099"/>
      <c r="B231" s="1157" t="str">
        <f>Riepilogo!D91</f>
        <v>Finest S.p.A.</v>
      </c>
      <c r="C231" s="1151" t="s">
        <v>706</v>
      </c>
      <c r="D231" s="1152"/>
      <c r="E231" s="1153"/>
      <c r="F231" s="1152"/>
      <c r="G231" s="1152"/>
      <c r="H231" s="689" t="s">
        <v>465</v>
      </c>
    </row>
    <row r="232" spans="2:7" ht="18" customHeight="1">
      <c r="B232" s="641" t="s">
        <v>125</v>
      </c>
      <c r="C232" s="659">
        <v>137176770</v>
      </c>
      <c r="D232" s="660"/>
      <c r="E232" s="677"/>
      <c r="F232" s="660"/>
      <c r="G232" s="660"/>
    </row>
    <row r="233" spans="2:7" ht="18" customHeight="1">
      <c r="B233" s="641" t="s">
        <v>193</v>
      </c>
      <c r="C233" s="659">
        <f>2560095+13646254+1446211</f>
        <v>17652560</v>
      </c>
      <c r="D233" s="660"/>
      <c r="E233" s="677"/>
      <c r="F233" s="660"/>
      <c r="G233" s="660"/>
    </row>
    <row r="234" spans="2:7" ht="18" customHeight="1">
      <c r="B234" s="641" t="s">
        <v>449</v>
      </c>
      <c r="C234" s="659">
        <v>0</v>
      </c>
      <c r="D234" s="660"/>
      <c r="E234" s="677" t="s">
        <v>139</v>
      </c>
      <c r="F234" s="660"/>
      <c r="G234" s="660"/>
    </row>
    <row r="235" spans="2:7" ht="18" customHeight="1">
      <c r="B235" s="641" t="s">
        <v>195</v>
      </c>
      <c r="C235" s="680">
        <v>-3676119</v>
      </c>
      <c r="D235" s="660"/>
      <c r="E235" s="677"/>
      <c r="F235" s="660"/>
      <c r="G235" s="660"/>
    </row>
    <row r="236" spans="2:9" ht="18" customHeight="1">
      <c r="B236" s="641"/>
      <c r="C236" s="679">
        <f>SUM(C232:C235)</f>
        <v>151153211</v>
      </c>
      <c r="D236" s="678" t="s">
        <v>461</v>
      </c>
      <c r="E236" s="677"/>
      <c r="F236" s="660"/>
      <c r="G236" s="660"/>
      <c r="H236" s="671">
        <f>C232/D238</f>
        <v>51.64999994352178</v>
      </c>
      <c r="I236" s="724" t="s">
        <v>462</v>
      </c>
    </row>
    <row r="237" spans="2:9" ht="18" customHeight="1">
      <c r="B237" s="642" t="s">
        <v>196</v>
      </c>
      <c r="C237" s="661">
        <v>0</v>
      </c>
      <c r="D237" s="662">
        <f>Riepilogo!F91</f>
        <v>147943</v>
      </c>
      <c r="E237" s="677"/>
      <c r="F237" s="660"/>
      <c r="G237" s="660"/>
      <c r="H237" s="685">
        <f>D237/D238</f>
        <v>0.05570371675644821</v>
      </c>
      <c r="I237" s="724" t="s">
        <v>466</v>
      </c>
    </row>
    <row r="238" spans="2:9" ht="18" customHeight="1">
      <c r="B238" s="1154"/>
      <c r="C238" s="661">
        <f>SUM(C236:C237)</f>
        <v>151153211</v>
      </c>
      <c r="D238" s="662">
        <f>Riepilogo!F92</f>
        <v>2655891</v>
      </c>
      <c r="E238" s="1155">
        <f>ROUND(C238*D237/D238,2)</f>
        <v>8419795.65</v>
      </c>
      <c r="F238" s="662">
        <v>160143698</v>
      </c>
      <c r="G238" s="662">
        <v>5939061</v>
      </c>
      <c r="H238" s="671">
        <f>H237*C238</f>
        <v>8419795.652371652</v>
      </c>
      <c r="I238" s="724" t="s">
        <v>467</v>
      </c>
    </row>
    <row r="239" spans="2:7" ht="15" customHeight="1">
      <c r="B239" s="634"/>
      <c r="C239" s="639"/>
      <c r="D239" s="640"/>
      <c r="E239" s="658"/>
      <c r="F239" s="640"/>
      <c r="G239" s="640"/>
    </row>
    <row r="240" spans="2:7" ht="18" customHeight="1">
      <c r="B240" s="1157" t="str">
        <f>Riepilogo!D93</f>
        <v>Interporto di Venezia S.p.A.</v>
      </c>
      <c r="C240" s="1151" t="s">
        <v>674</v>
      </c>
      <c r="D240" s="1165"/>
      <c r="E240" s="1153"/>
      <c r="F240" s="1152"/>
      <c r="G240" s="1152"/>
    </row>
    <row r="241" spans="2:7" ht="18" customHeight="1">
      <c r="B241" s="641" t="s">
        <v>125</v>
      </c>
      <c r="C241" s="659">
        <v>13288000</v>
      </c>
      <c r="D241" s="688"/>
      <c r="E241" s="677"/>
      <c r="F241" s="660"/>
      <c r="G241" s="660"/>
    </row>
    <row r="242" spans="2:7" ht="18" customHeight="1">
      <c r="B242" s="641" t="s">
        <v>446</v>
      </c>
      <c r="C242" s="659">
        <v>187635</v>
      </c>
      <c r="D242" s="660"/>
      <c r="E242" s="677"/>
      <c r="F242" s="660"/>
      <c r="G242" s="660"/>
    </row>
    <row r="243" spans="2:9" ht="18" customHeight="1">
      <c r="B243" s="641" t="s">
        <v>447</v>
      </c>
      <c r="C243" s="659">
        <v>0</v>
      </c>
      <c r="D243" s="660"/>
      <c r="E243" s="677"/>
      <c r="F243" s="660"/>
      <c r="G243" s="660"/>
      <c r="I243" s="1091"/>
    </row>
    <row r="244" spans="2:9" ht="18" customHeight="1">
      <c r="B244" s="641" t="s">
        <v>449</v>
      </c>
      <c r="C244" s="659">
        <v>0</v>
      </c>
      <c r="D244" s="678" t="s">
        <v>461</v>
      </c>
      <c r="E244" s="677"/>
      <c r="F244" s="660"/>
      <c r="G244" s="660"/>
      <c r="H244" s="671">
        <f>C241/D246</f>
        <v>3.02</v>
      </c>
      <c r="I244" s="724" t="s">
        <v>462</v>
      </c>
    </row>
    <row r="245" spans="2:9" ht="18" customHeight="1">
      <c r="B245" s="641" t="s">
        <v>195</v>
      </c>
      <c r="C245" s="661">
        <v>-2357996</v>
      </c>
      <c r="D245" s="662">
        <f>Riepilogo!F93</f>
        <v>629690</v>
      </c>
      <c r="E245" s="677"/>
      <c r="F245" s="660"/>
      <c r="G245" s="660"/>
      <c r="H245" s="685">
        <f>D245/D246</f>
        <v>0.14311136363636365</v>
      </c>
      <c r="I245" s="724" t="s">
        <v>466</v>
      </c>
    </row>
    <row r="246" spans="2:9" ht="18" customHeight="1">
      <c r="B246" s="1154"/>
      <c r="C246" s="661">
        <f>SUM(C241:C245)</f>
        <v>11117639</v>
      </c>
      <c r="D246" s="662">
        <f>Riepilogo!F94</f>
        <v>4400000</v>
      </c>
      <c r="E246" s="1155">
        <f>ROUND(C246*D245/D246,2)</f>
        <v>1591060.48</v>
      </c>
      <c r="F246" s="662">
        <v>68941256</v>
      </c>
      <c r="G246" s="662">
        <v>5228017</v>
      </c>
      <c r="H246" s="671">
        <f>H245*C246</f>
        <v>1591060.4777068184</v>
      </c>
      <c r="I246" s="724" t="s">
        <v>467</v>
      </c>
    </row>
    <row r="247" spans="2:7" ht="15" customHeight="1">
      <c r="B247" s="634"/>
      <c r="C247" s="639"/>
      <c r="D247" s="640"/>
      <c r="E247" s="658"/>
      <c r="F247" s="640"/>
      <c r="G247" s="640"/>
    </row>
    <row r="248" spans="2:8" ht="18" customHeight="1" hidden="1">
      <c r="B248" s="1157" t="e">
        <f>Riepilogo!#REF!</f>
        <v>#REF!</v>
      </c>
      <c r="C248" s="1151" t="s">
        <v>674</v>
      </c>
      <c r="D248" s="1165"/>
      <c r="E248" s="1153"/>
      <c r="F248" s="1152"/>
      <c r="G248" s="1152"/>
      <c r="H248" s="689" t="s">
        <v>463</v>
      </c>
    </row>
    <row r="249" spans="2:10" ht="18" customHeight="1" hidden="1">
      <c r="B249" s="641" t="s">
        <v>125</v>
      </c>
      <c r="C249" s="659">
        <v>4142138</v>
      </c>
      <c r="D249" s="688"/>
      <c r="E249" s="677"/>
      <c r="F249" s="660"/>
      <c r="G249" s="660"/>
      <c r="H249" s="1932" t="s">
        <v>440</v>
      </c>
      <c r="I249" s="1933"/>
      <c r="J249" s="1933"/>
    </row>
    <row r="250" spans="2:10" ht="18" customHeight="1" hidden="1">
      <c r="B250" s="641" t="s">
        <v>684</v>
      </c>
      <c r="C250" s="659">
        <v>42832382</v>
      </c>
      <c r="D250" s="688"/>
      <c r="E250" s="677"/>
      <c r="F250" s="660"/>
      <c r="G250" s="660"/>
      <c r="H250" s="1932"/>
      <c r="I250" s="1933"/>
      <c r="J250" s="1933"/>
    </row>
    <row r="251" spans="2:10" ht="18" customHeight="1" hidden="1">
      <c r="B251" s="641" t="s">
        <v>685</v>
      </c>
      <c r="C251" s="659">
        <f>26962007-C252</f>
        <v>27038428</v>
      </c>
      <c r="D251" s="660"/>
      <c r="E251" s="677"/>
      <c r="F251" s="660"/>
      <c r="G251" s="660"/>
      <c r="H251" s="1932"/>
      <c r="I251" s="1933"/>
      <c r="J251" s="1933"/>
    </row>
    <row r="252" spans="2:7" ht="18" customHeight="1" hidden="1">
      <c r="B252" s="641" t="s">
        <v>458</v>
      </c>
      <c r="C252" s="659">
        <f>-(764210*0.1)</f>
        <v>-76421</v>
      </c>
      <c r="D252" s="660"/>
      <c r="E252" s="677"/>
      <c r="F252" s="660"/>
      <c r="G252" s="660"/>
    </row>
    <row r="253" spans="2:9" ht="18" customHeight="1" hidden="1">
      <c r="B253" s="641"/>
      <c r="C253" s="659"/>
      <c r="D253" s="678" t="s">
        <v>461</v>
      </c>
      <c r="E253" s="677"/>
      <c r="F253" s="660"/>
      <c r="G253" s="660"/>
      <c r="H253" s="671" t="e">
        <f>C249/D255</f>
        <v>#REF!</v>
      </c>
      <c r="I253" s="724" t="s">
        <v>462</v>
      </c>
    </row>
    <row r="254" spans="2:9" ht="18" customHeight="1" hidden="1">
      <c r="B254" s="641" t="s">
        <v>195</v>
      </c>
      <c r="C254" s="661">
        <v>-6604853</v>
      </c>
      <c r="D254" s="1092" t="e">
        <f>Riepilogo!#REF!</f>
        <v>#REF!</v>
      </c>
      <c r="E254" s="677"/>
      <c r="F254" s="660"/>
      <c r="G254" s="660"/>
      <c r="H254" s="685" t="e">
        <f>D254/D255</f>
        <v>#REF!</v>
      </c>
      <c r="I254" s="724" t="s">
        <v>466</v>
      </c>
    </row>
    <row r="255" spans="2:9" ht="18" customHeight="1" hidden="1">
      <c r="B255" s="1154"/>
      <c r="C255" s="661">
        <f>SUM(C249:C254)</f>
        <v>67331674</v>
      </c>
      <c r="D255" s="1092" t="e">
        <f>Riepilogo!#REF!</f>
        <v>#REF!</v>
      </c>
      <c r="E255" s="1155">
        <v>0</v>
      </c>
      <c r="F255" s="662">
        <v>141574130</v>
      </c>
      <c r="G255" s="662">
        <f>10711112+352827-7873936+4166297</f>
        <v>7356300</v>
      </c>
      <c r="H255" s="671" t="e">
        <f>H254*C255</f>
        <v>#REF!</v>
      </c>
      <c r="I255" s="724" t="s">
        <v>467</v>
      </c>
    </row>
    <row r="256" spans="2:11" ht="15" customHeight="1" hidden="1">
      <c r="B256" s="634"/>
      <c r="C256" s="639"/>
      <c r="D256" s="640"/>
      <c r="E256" s="658"/>
      <c r="F256" s="640"/>
      <c r="G256" s="640"/>
      <c r="K256" s="835"/>
    </row>
    <row r="257" spans="2:11" ht="18" customHeight="1">
      <c r="B257" s="1157" t="str">
        <f>Riepilogo!D95</f>
        <v>Politecnico Calzaturiero soc. cons. a r.l.</v>
      </c>
      <c r="C257" s="1151" t="s">
        <v>674</v>
      </c>
      <c r="D257" s="1152"/>
      <c r="E257" s="1153"/>
      <c r="F257" s="1152"/>
      <c r="G257" s="1152"/>
      <c r="K257" s="835"/>
    </row>
    <row r="258" spans="2:11" ht="18" customHeight="1">
      <c r="B258" s="641" t="s">
        <v>125</v>
      </c>
      <c r="C258" s="659">
        <v>990307</v>
      </c>
      <c r="D258" s="660"/>
      <c r="E258" s="677"/>
      <c r="F258" s="660"/>
      <c r="G258" s="660"/>
      <c r="K258" s="835"/>
    </row>
    <row r="259" spans="2:7" ht="18" customHeight="1">
      <c r="B259" s="641" t="s">
        <v>193</v>
      </c>
      <c r="C259" s="659">
        <f>3675+2177-3</f>
        <v>5849</v>
      </c>
      <c r="D259" s="660"/>
      <c r="E259" s="677"/>
      <c r="F259" s="660"/>
      <c r="G259" s="660"/>
    </row>
    <row r="260" spans="2:7" ht="18" customHeight="1">
      <c r="B260" s="641" t="s">
        <v>449</v>
      </c>
      <c r="C260" s="659">
        <v>6305</v>
      </c>
      <c r="D260" s="678" t="s">
        <v>460</v>
      </c>
      <c r="E260" s="677"/>
      <c r="F260" s="660"/>
      <c r="G260" s="660"/>
    </row>
    <row r="261" spans="2:9" ht="18" customHeight="1">
      <c r="B261" s="641" t="s">
        <v>195</v>
      </c>
      <c r="C261" s="661">
        <v>7046</v>
      </c>
      <c r="D261" s="662">
        <f>Riepilogo!I95</f>
        <v>157124</v>
      </c>
      <c r="E261" s="677"/>
      <c r="F261" s="660"/>
      <c r="G261" s="660"/>
      <c r="H261" s="685">
        <f>D261/D262</f>
        <v>0.15866190989258885</v>
      </c>
      <c r="I261" s="724" t="s">
        <v>466</v>
      </c>
    </row>
    <row r="262" spans="2:9" ht="18" customHeight="1">
      <c r="B262" s="1166"/>
      <c r="C262" s="661">
        <f>SUM(C258:C261)</f>
        <v>1009507</v>
      </c>
      <c r="D262" s="662">
        <f>Riepilogo!E95</f>
        <v>990307</v>
      </c>
      <c r="E262" s="1155">
        <f>ROUND(C262*D261/D262,2)</f>
        <v>160170.31</v>
      </c>
      <c r="F262" s="662">
        <v>2744450</v>
      </c>
      <c r="G262" s="662">
        <v>1288104</v>
      </c>
      <c r="H262" s="671">
        <f>H261*C262</f>
        <v>160170.3086699377</v>
      </c>
      <c r="I262" s="724" t="s">
        <v>467</v>
      </c>
    </row>
    <row r="263" spans="2:7" ht="15" customHeight="1">
      <c r="B263" s="630"/>
      <c r="C263" s="637"/>
      <c r="D263" s="638"/>
      <c r="E263" s="656"/>
      <c r="F263" s="638"/>
      <c r="G263" s="638"/>
    </row>
    <row r="264" spans="2:7" ht="16.5" customHeight="1">
      <c r="B264" s="728" t="str">
        <f>Riepilogo!B110</f>
        <v>PARTECIPAZIONI C/REGIONE</v>
      </c>
      <c r="C264" s="637"/>
      <c r="D264" s="638"/>
      <c r="E264" s="656"/>
      <c r="F264" s="638"/>
      <c r="G264" s="638"/>
    </row>
    <row r="265" spans="2:8" ht="15" customHeight="1">
      <c r="B265" s="630"/>
      <c r="C265" s="637"/>
      <c r="D265" s="638"/>
      <c r="E265" s="656"/>
      <c r="F265" s="638"/>
      <c r="G265" s="638"/>
      <c r="H265" s="666"/>
    </row>
    <row r="266" spans="2:7" ht="18" customHeight="1">
      <c r="B266" s="1167" t="str">
        <f>B231</f>
        <v>Finest S.p.A.</v>
      </c>
      <c r="C266" s="1168" t="str">
        <f>C231</f>
        <v>bilancio 30/06/2017</v>
      </c>
      <c r="D266" s="1169"/>
      <c r="E266" s="1170"/>
      <c r="F266" s="1169"/>
      <c r="G266" s="1169"/>
    </row>
    <row r="267" spans="2:7" ht="18" customHeight="1">
      <c r="B267" s="715" t="s">
        <v>125</v>
      </c>
      <c r="C267" s="716">
        <f>C232</f>
        <v>137176770</v>
      </c>
      <c r="D267" s="717"/>
      <c r="E267" s="718"/>
      <c r="F267" s="717"/>
      <c r="G267" s="717"/>
    </row>
    <row r="268" spans="2:7" ht="18" customHeight="1">
      <c r="B268" s="715" t="s">
        <v>193</v>
      </c>
      <c r="C268" s="716">
        <f>C233</f>
        <v>17652560</v>
      </c>
      <c r="D268" s="717"/>
      <c r="E268" s="718"/>
      <c r="F268" s="717"/>
      <c r="G268" s="717"/>
    </row>
    <row r="269" spans="2:7" ht="18" customHeight="1">
      <c r="B269" s="715" t="s">
        <v>449</v>
      </c>
      <c r="C269" s="716">
        <f>C234</f>
        <v>0</v>
      </c>
      <c r="D269" s="717"/>
      <c r="E269" s="718" t="s">
        <v>139</v>
      </c>
      <c r="F269" s="717"/>
      <c r="G269" s="717"/>
    </row>
    <row r="270" spans="2:7" ht="18" customHeight="1">
      <c r="B270" s="715" t="s">
        <v>195</v>
      </c>
      <c r="C270" s="719">
        <f>C235</f>
        <v>-3676119</v>
      </c>
      <c r="D270" s="717"/>
      <c r="E270" s="718"/>
      <c r="F270" s="717"/>
      <c r="G270" s="717"/>
    </row>
    <row r="271" spans="2:9" ht="18" customHeight="1">
      <c r="B271" s="715"/>
      <c r="C271" s="720">
        <f>SUM(C267:C270)</f>
        <v>151153211</v>
      </c>
      <c r="D271" s="725" t="s">
        <v>461</v>
      </c>
      <c r="E271" s="718"/>
      <c r="F271" s="717"/>
      <c r="G271" s="717"/>
      <c r="H271" s="671">
        <f>C267/D273</f>
        <v>51.64999994352178</v>
      </c>
      <c r="I271" s="724" t="s">
        <v>462</v>
      </c>
    </row>
    <row r="272" spans="2:9" ht="18" customHeight="1">
      <c r="B272" s="721" t="s">
        <v>196</v>
      </c>
      <c r="C272" s="817">
        <f>C237</f>
        <v>0</v>
      </c>
      <c r="D272" s="722">
        <f>Riepilogo!F112</f>
        <v>58020</v>
      </c>
      <c r="E272" s="718"/>
      <c r="F272" s="717"/>
      <c r="G272" s="717"/>
      <c r="H272" s="685">
        <f>D272/D273</f>
        <v>0.021845776050297246</v>
      </c>
      <c r="I272" s="724" t="s">
        <v>466</v>
      </c>
    </row>
    <row r="273" spans="2:9" ht="18" customHeight="1">
      <c r="B273" s="1171"/>
      <c r="C273" s="719">
        <f>SUM(C271:C272)</f>
        <v>151153211</v>
      </c>
      <c r="D273" s="722">
        <f>Riepilogo!F113</f>
        <v>2655891</v>
      </c>
      <c r="E273" s="1172">
        <f>ROUND(C273*D272/D273,2)</f>
        <v>3302059.2</v>
      </c>
      <c r="F273" s="722">
        <f>F238</f>
        <v>160143698</v>
      </c>
      <c r="G273" s="722">
        <f>G238</f>
        <v>5939061</v>
      </c>
      <c r="H273" s="671">
        <f>H272*C273</f>
        <v>3302059.196789326</v>
      </c>
      <c r="I273" s="724" t="s">
        <v>467</v>
      </c>
    </row>
    <row r="274" spans="2:7" ht="15" customHeight="1" hidden="1">
      <c r="B274" s="634"/>
      <c r="C274" s="639"/>
      <c r="D274" s="640"/>
      <c r="E274" s="658"/>
      <c r="F274" s="640"/>
      <c r="G274" s="640"/>
    </row>
    <row r="275" spans="2:7" ht="18" customHeight="1" hidden="1">
      <c r="B275" s="819" t="e">
        <f>Riepilogo!#REF!</f>
        <v>#REF!</v>
      </c>
      <c r="C275" s="820" t="s">
        <v>674</v>
      </c>
      <c r="D275" s="821"/>
      <c r="E275" s="822"/>
      <c r="F275" s="821"/>
      <c r="G275" s="823"/>
    </row>
    <row r="276" spans="2:7" ht="18" customHeight="1" hidden="1">
      <c r="B276" s="824" t="s">
        <v>125</v>
      </c>
      <c r="C276" s="716">
        <v>6152325</v>
      </c>
      <c r="D276" s="717"/>
      <c r="E276" s="718"/>
      <c r="F276" s="717"/>
      <c r="G276" s="825"/>
    </row>
    <row r="277" spans="2:7" ht="18" customHeight="1" hidden="1">
      <c r="B277" s="824" t="s">
        <v>686</v>
      </c>
      <c r="C277" s="716">
        <v>402018</v>
      </c>
      <c r="D277" s="717"/>
      <c r="E277" s="718"/>
      <c r="F277" s="717"/>
      <c r="G277" s="825"/>
    </row>
    <row r="278" spans="2:7" ht="18" customHeight="1" hidden="1">
      <c r="B278" s="824" t="s">
        <v>687</v>
      </c>
      <c r="C278" s="716">
        <v>5570093</v>
      </c>
      <c r="D278" s="717"/>
      <c r="E278" s="718"/>
      <c r="F278" s="717"/>
      <c r="G278" s="825"/>
    </row>
    <row r="279" spans="2:7" ht="18" customHeight="1" hidden="1">
      <c r="B279" s="826" t="s">
        <v>683</v>
      </c>
      <c r="C279" s="716">
        <v>-55000</v>
      </c>
      <c r="D279" s="818"/>
      <c r="E279" s="718"/>
      <c r="F279" s="717"/>
      <c r="G279" s="825"/>
    </row>
    <row r="280" spans="2:9" ht="18" customHeight="1" hidden="1">
      <c r="B280" s="826" t="s">
        <v>449</v>
      </c>
      <c r="C280" s="716">
        <v>0</v>
      </c>
      <c r="D280" s="818"/>
      <c r="E280" s="718" t="s">
        <v>139</v>
      </c>
      <c r="F280" s="717"/>
      <c r="G280" s="825"/>
      <c r="H280" s="671" t="e">
        <f>C276/D284</f>
        <v>#REF!</v>
      </c>
      <c r="I280" s="724" t="s">
        <v>462</v>
      </c>
    </row>
    <row r="281" spans="2:9" ht="18" customHeight="1" hidden="1">
      <c r="B281" s="826" t="s">
        <v>195</v>
      </c>
      <c r="C281" s="716">
        <v>1853015</v>
      </c>
      <c r="D281" s="818"/>
      <c r="E281" s="718"/>
      <c r="F281" s="717"/>
      <c r="G281" s="825"/>
      <c r="H281" s="685" t="e">
        <f>D283/D284</f>
        <v>#REF!</v>
      </c>
      <c r="I281" s="724" t="s">
        <v>466</v>
      </c>
    </row>
    <row r="282" spans="2:9" ht="18" customHeight="1" hidden="1">
      <c r="B282" s="827"/>
      <c r="C282" s="716">
        <f>SUM(C276:C281)</f>
        <v>13922451</v>
      </c>
      <c r="D282" s="818" t="s">
        <v>461</v>
      </c>
      <c r="E282" s="718"/>
      <c r="F282" s="717"/>
      <c r="G282" s="825"/>
      <c r="H282" s="685"/>
      <c r="I282" s="724"/>
    </row>
    <row r="283" spans="2:9" ht="18" customHeight="1" hidden="1">
      <c r="B283" s="826" t="s">
        <v>196</v>
      </c>
      <c r="C283" s="719">
        <v>-200000</v>
      </c>
      <c r="D283" s="816" t="e">
        <f>Riepilogo!#REF!</f>
        <v>#REF!</v>
      </c>
      <c r="E283" s="718"/>
      <c r="F283" s="717"/>
      <c r="G283" s="825"/>
      <c r="H283" s="685"/>
      <c r="I283" s="724"/>
    </row>
    <row r="284" spans="2:9" ht="18" customHeight="1" hidden="1" thickBot="1">
      <c r="B284" s="828"/>
      <c r="C284" s="829">
        <f>C282-C283</f>
        <v>14122451</v>
      </c>
      <c r="D284" s="830" t="e">
        <f>Riepilogo!#REF!</f>
        <v>#REF!</v>
      </c>
      <c r="E284" s="831">
        <v>0</v>
      </c>
      <c r="F284" s="832">
        <v>98198960</v>
      </c>
      <c r="G284" s="833">
        <v>61143678</v>
      </c>
      <c r="H284" s="671" t="e">
        <f>H281*C282</f>
        <v>#REF!</v>
      </c>
      <c r="I284" s="724" t="s">
        <v>467</v>
      </c>
    </row>
    <row r="292" ht="15.75"/>
    <row r="295" ht="15.75"/>
    <row r="299" ht="15.75"/>
    <row r="300" ht="15.75"/>
    <row r="301" ht="15.75"/>
  </sheetData>
  <sheetProtection/>
  <mergeCells count="9">
    <mergeCell ref="H26:K26"/>
    <mergeCell ref="H27:K27"/>
    <mergeCell ref="H249:J251"/>
    <mergeCell ref="C4:C6"/>
    <mergeCell ref="E4:E6"/>
    <mergeCell ref="H4:H6"/>
    <mergeCell ref="F4:G4"/>
    <mergeCell ref="F5:F6"/>
    <mergeCell ref="G5:G6"/>
  </mergeCells>
  <printOptions headings="1"/>
  <pageMargins left="0.31496062992125984" right="0.31496062992125984" top="0.15748031496062992" bottom="0.15748031496062992" header="0.11811023622047245" footer="0.11811023622047245"/>
  <pageSetup fitToHeight="4" fitToWidth="1" horizontalDpi="600" verticalDpi="600" orientation="portrait" paperSize="8" scale="50" r:id="rId3"/>
  <rowBreaks count="1" manualBreakCount="1">
    <brk id="262" max="255" man="1"/>
  </rowBreaks>
  <ignoredErrors>
    <ignoredError sqref="C271 D81" formula="1"/>
  </ignoredError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CFF"/>
  </sheetPr>
  <dimension ref="B2:I11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3" width="9.140625" style="10" customWidth="1"/>
    <col min="4" max="4" width="17.00390625" style="10" customWidth="1"/>
    <col min="5" max="6" width="15.7109375" style="10" customWidth="1"/>
    <col min="7" max="7" width="17.140625" style="10" customWidth="1"/>
    <col min="8" max="8" width="22.57421875" style="10" customWidth="1"/>
    <col min="9" max="9" width="15.7109375" style="10" customWidth="1"/>
    <col min="10" max="10" width="15.421875" style="10" customWidth="1"/>
    <col min="11" max="16384" width="9.140625" style="10" customWidth="1"/>
  </cols>
  <sheetData>
    <row r="2" spans="2:5" ht="16.5" customHeight="1">
      <c r="B2" s="414" t="s">
        <v>249</v>
      </c>
      <c r="C2" s="414"/>
      <c r="D2" s="414"/>
      <c r="E2" s="176"/>
    </row>
    <row r="3" spans="2:8" s="39" customFormat="1" ht="60.75" customHeight="1">
      <c r="B3" s="1950" t="s">
        <v>129</v>
      </c>
      <c r="C3" s="2089"/>
      <c r="D3" s="2090"/>
      <c r="E3" s="106" t="s">
        <v>130</v>
      </c>
      <c r="F3" s="106" t="s">
        <v>131</v>
      </c>
      <c r="G3" s="106" t="s">
        <v>132</v>
      </c>
      <c r="H3" s="106" t="s">
        <v>133</v>
      </c>
    </row>
    <row r="4" spans="2:8" ht="6" customHeight="1">
      <c r="B4" s="525"/>
      <c r="C4" s="21"/>
      <c r="D4" s="526"/>
      <c r="E4" s="466"/>
      <c r="F4" s="466"/>
      <c r="G4" s="466"/>
      <c r="H4" s="466"/>
    </row>
    <row r="5" spans="2:8" s="39" customFormat="1" ht="15.75" customHeight="1">
      <c r="B5" s="2082" t="str">
        <f>Riepilogo!D112</f>
        <v>Finest S.p.A.</v>
      </c>
      <c r="C5" s="2083" t="s">
        <v>120</v>
      </c>
      <c r="D5" s="2084"/>
      <c r="E5" s="108">
        <v>0</v>
      </c>
      <c r="F5" s="108">
        <v>1</v>
      </c>
      <c r="G5" s="15">
        <v>0</v>
      </c>
      <c r="H5" s="91" t="s">
        <v>134</v>
      </c>
    </row>
    <row r="6" spans="2:8" ht="6" customHeight="1">
      <c r="B6" s="527"/>
      <c r="C6" s="109"/>
      <c r="D6" s="528"/>
      <c r="E6" s="529"/>
      <c r="F6" s="529"/>
      <c r="G6" s="529"/>
      <c r="H6" s="529"/>
    </row>
    <row r="7" spans="2:8" ht="6" customHeight="1">
      <c r="B7" s="525"/>
      <c r="C7" s="21"/>
      <c r="D7" s="541"/>
      <c r="E7" s="422"/>
      <c r="F7" s="422"/>
      <c r="G7" s="422"/>
      <c r="H7" s="206"/>
    </row>
    <row r="8" spans="2:8" s="39" customFormat="1" ht="15.75" customHeight="1">
      <c r="B8" s="2082" t="e">
        <f>Riepilogo!#REF!</f>
        <v>#REF!</v>
      </c>
      <c r="C8" s="2083" t="s">
        <v>120</v>
      </c>
      <c r="D8" s="2084"/>
      <c r="E8" s="108">
        <v>0</v>
      </c>
      <c r="F8" s="108">
        <v>1</v>
      </c>
      <c r="G8" s="15">
        <v>0</v>
      </c>
      <c r="H8" s="94" t="s">
        <v>134</v>
      </c>
    </row>
    <row r="9" spans="2:8" ht="6" customHeight="1">
      <c r="B9" s="527"/>
      <c r="C9" s="109"/>
      <c r="D9" s="542"/>
      <c r="E9" s="529"/>
      <c r="F9" s="529"/>
      <c r="G9" s="529"/>
      <c r="H9" s="543"/>
    </row>
    <row r="10" spans="8:9" ht="12.75">
      <c r="H10" s="139"/>
      <c r="I10" s="139"/>
    </row>
    <row r="11" ht="12.75">
      <c r="C11" s="390"/>
    </row>
  </sheetData>
  <sheetProtection/>
  <mergeCells count="3">
    <mergeCell ref="B3:D3"/>
    <mergeCell ref="B5:D5"/>
    <mergeCell ref="B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CFF"/>
  </sheetPr>
  <dimension ref="B1:I31"/>
  <sheetViews>
    <sheetView zoomScale="90" zoomScaleNormal="90" zoomScalePageLayoutView="0" workbookViewId="0" topLeftCell="A1">
      <selection activeCell="C30" sqref="C30"/>
    </sheetView>
  </sheetViews>
  <sheetFormatPr defaultColWidth="9.140625" defaultRowHeight="12.75"/>
  <cols>
    <col min="1" max="3" width="9.140625" style="10" customWidth="1"/>
    <col min="4" max="4" width="24.8515625" style="10" customWidth="1"/>
    <col min="5" max="5" width="3.421875" style="10" customWidth="1"/>
    <col min="6" max="7" width="9.140625" style="10" customWidth="1"/>
    <col min="8" max="8" width="17.00390625" style="10" customWidth="1"/>
    <col min="9" max="9" width="12.421875" style="10" customWidth="1"/>
    <col min="10" max="16384" width="9.140625" style="10" customWidth="1"/>
  </cols>
  <sheetData>
    <row r="1" spans="2:5" ht="16.5" customHeight="1">
      <c r="B1" s="2088" t="s">
        <v>250</v>
      </c>
      <c r="C1" s="2088"/>
      <c r="D1" s="2088"/>
      <c r="E1" s="2088"/>
    </row>
    <row r="2" spans="2:4" s="39" customFormat="1" ht="16.5" customHeight="1">
      <c r="B2" s="531" t="s">
        <v>124</v>
      </c>
      <c r="C2" s="30"/>
      <c r="D2" s="531"/>
    </row>
    <row r="3" s="39" customFormat="1" ht="14.25">
      <c r="C3" s="7"/>
    </row>
    <row r="4" spans="2:9" ht="44.25" customHeight="1">
      <c r="B4" s="2091" t="s">
        <v>135</v>
      </c>
      <c r="C4" s="2092"/>
      <c r="D4" s="2093"/>
      <c r="E4" s="2094" t="s">
        <v>136</v>
      </c>
      <c r="F4" s="2094"/>
      <c r="G4" s="2094"/>
      <c r="H4" s="617">
        <v>2016</v>
      </c>
      <c r="I4" s="617">
        <v>2015</v>
      </c>
    </row>
    <row r="5" spans="2:9" ht="6" customHeight="1">
      <c r="B5" s="2095" t="str">
        <f>Riepilogo!D112</f>
        <v>Finest S.p.A.</v>
      </c>
      <c r="C5" s="2096"/>
      <c r="D5" s="2097"/>
      <c r="E5" s="2"/>
      <c r="F5" s="21"/>
      <c r="G5" s="22"/>
      <c r="H5" s="23"/>
      <c r="I5" s="23"/>
    </row>
    <row r="6" spans="2:9" ht="15.75" customHeight="1">
      <c r="B6" s="2010"/>
      <c r="C6" s="2086"/>
      <c r="D6" s="2011"/>
      <c r="E6" s="85" t="s">
        <v>15</v>
      </c>
      <c r="F6" s="43" t="s">
        <v>137</v>
      </c>
      <c r="G6" s="44"/>
      <c r="H6" s="16">
        <f>Riepilogo!AM112</f>
        <v>2996733</v>
      </c>
      <c r="I6" s="16">
        <f>Riepilogo!AC112</f>
        <v>2996733</v>
      </c>
    </row>
    <row r="7" spans="2:9" ht="6" customHeight="1">
      <c r="B7" s="2010"/>
      <c r="C7" s="2086"/>
      <c r="D7" s="2011"/>
      <c r="E7" s="523"/>
      <c r="F7" s="26"/>
      <c r="G7" s="27"/>
      <c r="H7" s="28"/>
      <c r="I7" s="28"/>
    </row>
    <row r="8" spans="2:9" ht="6" customHeight="1">
      <c r="B8" s="2010"/>
      <c r="C8" s="2086"/>
      <c r="D8" s="2011"/>
      <c r="E8" s="2"/>
      <c r="F8" s="21"/>
      <c r="G8" s="22"/>
      <c r="H8" s="42"/>
      <c r="I8" s="42"/>
    </row>
    <row r="9" spans="2:9" ht="15.75" customHeight="1">
      <c r="B9" s="2010"/>
      <c r="C9" s="2086"/>
      <c r="D9" s="2011"/>
      <c r="E9" s="85" t="s">
        <v>17</v>
      </c>
      <c r="F9" s="30" t="s">
        <v>18</v>
      </c>
      <c r="G9" s="6"/>
      <c r="H9" s="15">
        <v>0</v>
      </c>
      <c r="I9" s="15">
        <v>0</v>
      </c>
    </row>
    <row r="10" spans="2:9" ht="6" customHeight="1">
      <c r="B10" s="2010"/>
      <c r="C10" s="2086"/>
      <c r="D10" s="2011"/>
      <c r="E10" s="85"/>
      <c r="F10" s="7"/>
      <c r="G10" s="6"/>
      <c r="H10" s="49"/>
      <c r="I10" s="49"/>
    </row>
    <row r="11" spans="2:9" ht="6" customHeight="1">
      <c r="B11" s="2010"/>
      <c r="C11" s="2086"/>
      <c r="D11" s="2011"/>
      <c r="E11" s="2"/>
      <c r="F11" s="21"/>
      <c r="G11" s="22"/>
      <c r="H11" s="23"/>
      <c r="I11" s="23"/>
    </row>
    <row r="12" spans="2:9" ht="15.75" customHeight="1">
      <c r="B12" s="2010"/>
      <c r="C12" s="2086"/>
      <c r="D12" s="2011"/>
      <c r="E12" s="85" t="s">
        <v>22</v>
      </c>
      <c r="F12" s="30" t="s">
        <v>23</v>
      </c>
      <c r="G12" s="6"/>
      <c r="H12" s="15">
        <v>0</v>
      </c>
      <c r="I12" s="15">
        <v>0</v>
      </c>
    </row>
    <row r="13" spans="2:9" ht="6" customHeight="1">
      <c r="B13" s="2010"/>
      <c r="C13" s="2086"/>
      <c r="D13" s="2011"/>
      <c r="E13" s="523"/>
      <c r="F13" s="26"/>
      <c r="G13" s="27"/>
      <c r="H13" s="28"/>
      <c r="I13" s="28"/>
    </row>
    <row r="14" spans="2:9" ht="6" customHeight="1">
      <c r="B14" s="2010"/>
      <c r="C14" s="2086"/>
      <c r="D14" s="2011"/>
      <c r="E14" s="2"/>
      <c r="F14" s="21"/>
      <c r="G14" s="22"/>
      <c r="H14" s="42"/>
      <c r="I14" s="42"/>
    </row>
    <row r="15" spans="2:9" ht="15.75" customHeight="1">
      <c r="B15" s="2010"/>
      <c r="C15" s="2086"/>
      <c r="D15" s="2011"/>
      <c r="E15" s="85" t="s">
        <v>27</v>
      </c>
      <c r="F15" s="43" t="s">
        <v>138</v>
      </c>
      <c r="G15" s="44"/>
      <c r="H15" s="62">
        <f>H6+H9+H12</f>
        <v>2996733</v>
      </c>
      <c r="I15" s="62">
        <f>I6+I9+I12</f>
        <v>2996733</v>
      </c>
    </row>
    <row r="16" spans="2:9" ht="6" customHeight="1">
      <c r="B16" s="2098"/>
      <c r="C16" s="2099"/>
      <c r="D16" s="2100"/>
      <c r="E16" s="523"/>
      <c r="F16" s="26"/>
      <c r="G16" s="27"/>
      <c r="H16" s="28"/>
      <c r="I16" s="28"/>
    </row>
    <row r="17" spans="2:9" ht="6" customHeight="1">
      <c r="B17" s="2095" t="e">
        <f>Riepilogo!#REF!</f>
        <v>#REF!</v>
      </c>
      <c r="C17" s="2096"/>
      <c r="D17" s="2097"/>
      <c r="E17" s="2"/>
      <c r="F17" s="21"/>
      <c r="G17" s="22"/>
      <c r="H17" s="23"/>
      <c r="I17" s="23"/>
    </row>
    <row r="18" spans="2:9" ht="15.75" customHeight="1">
      <c r="B18" s="2010"/>
      <c r="C18" s="2086"/>
      <c r="D18" s="2011"/>
      <c r="E18" s="85" t="s">
        <v>15</v>
      </c>
      <c r="F18" s="43" t="s">
        <v>137</v>
      </c>
      <c r="G18" s="44"/>
      <c r="H18" s="16" t="e">
        <f>Riepilogo!#REF!</f>
        <v>#REF!</v>
      </c>
      <c r="I18" s="16" t="e">
        <f>Riepilogo!#REF!</f>
        <v>#REF!</v>
      </c>
    </row>
    <row r="19" spans="2:9" ht="6" customHeight="1">
      <c r="B19" s="2010"/>
      <c r="C19" s="2086"/>
      <c r="D19" s="2011"/>
      <c r="E19" s="523"/>
      <c r="F19" s="26"/>
      <c r="G19" s="27"/>
      <c r="H19" s="28"/>
      <c r="I19" s="28"/>
    </row>
    <row r="20" spans="2:9" ht="6" customHeight="1">
      <c r="B20" s="2010"/>
      <c r="C20" s="2086"/>
      <c r="D20" s="2011"/>
      <c r="E20" s="2"/>
      <c r="F20" s="21"/>
      <c r="G20" s="22"/>
      <c r="H20" s="42"/>
      <c r="I20" s="42"/>
    </row>
    <row r="21" spans="2:9" ht="15.75" customHeight="1">
      <c r="B21" s="2010"/>
      <c r="C21" s="2086"/>
      <c r="D21" s="2011"/>
      <c r="E21" s="85" t="s">
        <v>17</v>
      </c>
      <c r="F21" s="30" t="s">
        <v>18</v>
      </c>
      <c r="G21" s="6"/>
      <c r="H21" s="15">
        <v>0</v>
      </c>
      <c r="I21" s="15">
        <v>0</v>
      </c>
    </row>
    <row r="22" spans="2:9" ht="6" customHeight="1">
      <c r="B22" s="2010"/>
      <c r="C22" s="2086"/>
      <c r="D22" s="2011"/>
      <c r="E22" s="85"/>
      <c r="F22" s="7"/>
      <c r="G22" s="6"/>
      <c r="H22" s="49"/>
      <c r="I22" s="49"/>
    </row>
    <row r="23" spans="2:9" ht="6" customHeight="1">
      <c r="B23" s="2010"/>
      <c r="C23" s="2086"/>
      <c r="D23" s="2011"/>
      <c r="E23" s="2"/>
      <c r="F23" s="21"/>
      <c r="G23" s="22"/>
      <c r="H23" s="23"/>
      <c r="I23" s="23"/>
    </row>
    <row r="24" spans="2:9" ht="15.75" customHeight="1">
      <c r="B24" s="2010"/>
      <c r="C24" s="2086"/>
      <c r="D24" s="2011"/>
      <c r="E24" s="85" t="s">
        <v>22</v>
      </c>
      <c r="F24" s="30" t="s">
        <v>23</v>
      </c>
      <c r="G24" s="6"/>
      <c r="H24" s="15">
        <v>0</v>
      </c>
      <c r="I24" s="15">
        <v>0</v>
      </c>
    </row>
    <row r="25" spans="2:9" ht="6" customHeight="1">
      <c r="B25" s="2010"/>
      <c r="C25" s="2086"/>
      <c r="D25" s="2011"/>
      <c r="E25" s="523"/>
      <c r="F25" s="26"/>
      <c r="G25" s="27"/>
      <c r="H25" s="28"/>
      <c r="I25" s="28"/>
    </row>
    <row r="26" spans="2:9" ht="6" customHeight="1">
      <c r="B26" s="2010"/>
      <c r="C26" s="2086"/>
      <c r="D26" s="2011"/>
      <c r="E26" s="2"/>
      <c r="F26" s="21"/>
      <c r="G26" s="22"/>
      <c r="H26" s="42"/>
      <c r="I26" s="42"/>
    </row>
    <row r="27" spans="2:9" ht="15.75" customHeight="1">
      <c r="B27" s="2010"/>
      <c r="C27" s="2086"/>
      <c r="D27" s="2011"/>
      <c r="E27" s="85" t="s">
        <v>27</v>
      </c>
      <c r="F27" s="43" t="s">
        <v>138</v>
      </c>
      <c r="G27" s="44"/>
      <c r="H27" s="48" t="e">
        <f>H18+H21+H24</f>
        <v>#REF!</v>
      </c>
      <c r="I27" s="48" t="e">
        <f>I18+I21+I24</f>
        <v>#REF!</v>
      </c>
    </row>
    <row r="28" spans="2:9" ht="6" customHeight="1">
      <c r="B28" s="2098"/>
      <c r="C28" s="2099"/>
      <c r="D28" s="2100"/>
      <c r="E28" s="523"/>
      <c r="F28" s="26"/>
      <c r="G28" s="27"/>
      <c r="H28" s="28"/>
      <c r="I28" s="28"/>
    </row>
    <row r="29" spans="2:4" ht="14.25" customHeight="1">
      <c r="B29" s="107"/>
      <c r="C29" s="107"/>
      <c r="D29" s="107"/>
    </row>
    <row r="30" spans="2:4" ht="14.25" customHeight="1">
      <c r="B30" s="107"/>
      <c r="C30" s="107"/>
      <c r="D30" s="107"/>
    </row>
    <row r="31" spans="2:4" ht="14.25">
      <c r="B31" s="107"/>
      <c r="C31" s="107"/>
      <c r="D31" s="107"/>
    </row>
  </sheetData>
  <sheetProtection/>
  <mergeCells count="5">
    <mergeCell ref="B4:D4"/>
    <mergeCell ref="E4:G4"/>
    <mergeCell ref="B5:D16"/>
    <mergeCell ref="B17:D28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D15"/>
  <sheetViews>
    <sheetView zoomScalePageLayoutView="0" workbookViewId="0" topLeftCell="A52">
      <selection activeCell="A96" sqref="A96"/>
    </sheetView>
  </sheetViews>
  <sheetFormatPr defaultColWidth="9.140625" defaultRowHeight="12.75"/>
  <cols>
    <col min="1" max="1" width="63.140625" style="10" customWidth="1"/>
    <col min="2" max="2" width="18.57421875" style="392" customWidth="1"/>
    <col min="3" max="3" width="12.7109375" style="10" bestFit="1" customWidth="1"/>
    <col min="4" max="4" width="14.00390625" style="10" bestFit="1" customWidth="1"/>
    <col min="5" max="16384" width="9.140625" style="10" customWidth="1"/>
  </cols>
  <sheetData>
    <row r="1" spans="1:2" ht="13.5" customHeight="1">
      <c r="A1" s="544" t="s">
        <v>220</v>
      </c>
      <c r="B1" s="544" t="s">
        <v>221</v>
      </c>
    </row>
    <row r="2" spans="1:2" ht="29.25" customHeight="1">
      <c r="A2" s="545" t="s">
        <v>239</v>
      </c>
      <c r="B2" s="546">
        <f>+Riepilogo!I49</f>
        <v>4336049.41</v>
      </c>
    </row>
    <row r="3" spans="1:2" ht="13.5" customHeight="1">
      <c r="A3" s="547" t="s">
        <v>234</v>
      </c>
      <c r="B3" s="546">
        <f>Riepilogo!I56</f>
        <v>282000</v>
      </c>
    </row>
    <row r="4" spans="1:4" ht="13.5" customHeight="1">
      <c r="A4" s="547" t="s">
        <v>215</v>
      </c>
      <c r="B4" s="546">
        <f>Riepilogo!I102+Riepilogo!I108</f>
        <v>18111416.200000003</v>
      </c>
      <c r="D4" s="548"/>
    </row>
    <row r="5" spans="1:2" ht="13.5" customHeight="1">
      <c r="A5" s="547" t="s">
        <v>216</v>
      </c>
      <c r="B5" s="549">
        <f>Riepilogo!I114</f>
        <v>2996733</v>
      </c>
    </row>
    <row r="6" spans="1:2" ht="33.75">
      <c r="A6" s="545" t="s">
        <v>318</v>
      </c>
      <c r="B6" s="549">
        <f>Riepilogo!I124</f>
        <v>550000</v>
      </c>
    </row>
    <row r="7" spans="1:2" ht="12.75">
      <c r="A7" s="547"/>
      <c r="B7" s="546"/>
    </row>
    <row r="8" spans="1:3" ht="13.5" customHeight="1">
      <c r="A8" s="544" t="s">
        <v>217</v>
      </c>
      <c r="B8" s="550">
        <f>SUM(B2:B5)+B6</f>
        <v>26276198.610000003</v>
      </c>
      <c r="C8" s="551"/>
    </row>
    <row r="9" spans="1:2" ht="13.5" customHeight="1">
      <c r="A9" s="552" t="s">
        <v>218</v>
      </c>
      <c r="B9" s="546"/>
    </row>
    <row r="10" spans="1:2" ht="13.5" customHeight="1">
      <c r="A10" s="547" t="s">
        <v>219</v>
      </c>
      <c r="B10" s="546">
        <f>B5</f>
        <v>2996733</v>
      </c>
    </row>
    <row r="11" spans="1:2" ht="13.5" customHeight="1">
      <c r="A11" s="547" t="s">
        <v>316</v>
      </c>
      <c r="B11" s="546">
        <f>B2</f>
        <v>4336049.41</v>
      </c>
    </row>
    <row r="12" spans="1:2" ht="13.5" customHeight="1">
      <c r="A12" s="547" t="s">
        <v>317</v>
      </c>
      <c r="B12" s="546">
        <f>B3</f>
        <v>282000</v>
      </c>
    </row>
    <row r="13" spans="1:2" ht="13.5" customHeight="1">
      <c r="A13" s="547" t="s">
        <v>276</v>
      </c>
      <c r="B13" s="546">
        <f>B6</f>
        <v>550000</v>
      </c>
    </row>
    <row r="15" spans="1:2" ht="15">
      <c r="A15" s="553"/>
      <c r="B15" s="5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K21"/>
  <sheetViews>
    <sheetView showGridLines="0"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2.57421875" style="10" customWidth="1"/>
    <col min="2" max="2" width="39.421875" style="10" customWidth="1"/>
    <col min="3" max="3" width="15.57421875" style="10" customWidth="1"/>
    <col min="4" max="4" width="16.28125" style="10" customWidth="1"/>
    <col min="5" max="5" width="13.421875" style="10" customWidth="1"/>
    <col min="6" max="6" width="18.00390625" style="10" customWidth="1"/>
    <col min="7" max="7" width="14.28125" style="10" customWidth="1"/>
    <col min="8" max="8" width="16.140625" style="10" customWidth="1"/>
    <col min="9" max="9" width="14.140625" style="10" customWidth="1"/>
    <col min="10" max="10" width="14.28125" style="10" customWidth="1"/>
    <col min="11" max="11" width="12.57421875" style="10" customWidth="1"/>
    <col min="12" max="16384" width="9.140625" style="10" customWidth="1"/>
  </cols>
  <sheetData>
    <row r="2" spans="2:11" s="558" customFormat="1" ht="49.5" customHeight="1">
      <c r="B2" s="555" t="s">
        <v>608</v>
      </c>
      <c r="C2" s="555" t="s">
        <v>37</v>
      </c>
      <c r="D2" s="556" t="s">
        <v>38</v>
      </c>
      <c r="E2" s="555" t="s">
        <v>39</v>
      </c>
      <c r="F2" s="555" t="s">
        <v>40</v>
      </c>
      <c r="G2" s="555" t="s">
        <v>41</v>
      </c>
      <c r="H2" s="555" t="s">
        <v>59</v>
      </c>
      <c r="I2" s="555" t="s">
        <v>42</v>
      </c>
      <c r="J2" s="557" t="s">
        <v>402</v>
      </c>
      <c r="K2" s="555" t="s">
        <v>407</v>
      </c>
    </row>
    <row r="3" spans="2:11" ht="12.75" customHeight="1">
      <c r="B3" s="559" t="s">
        <v>403</v>
      </c>
      <c r="C3" s="560"/>
      <c r="D3" s="560"/>
      <c r="E3" s="560"/>
      <c r="F3" s="560"/>
      <c r="G3" s="560"/>
      <c r="H3" s="560"/>
      <c r="I3" s="560"/>
      <c r="J3" s="560"/>
      <c r="K3" s="560"/>
    </row>
    <row r="4" spans="2:11" ht="12.75" customHeight="1">
      <c r="B4" s="489" t="s">
        <v>404</v>
      </c>
      <c r="C4" s="561"/>
      <c r="D4" s="562"/>
      <c r="E4" s="561"/>
      <c r="F4" s="561"/>
      <c r="G4" s="561"/>
      <c r="H4" s="561"/>
      <c r="I4" s="561"/>
      <c r="J4" s="563"/>
      <c r="K4" s="561"/>
    </row>
    <row r="5" spans="2:11" ht="12.75" customHeight="1">
      <c r="B5" s="564" t="s">
        <v>405</v>
      </c>
      <c r="C5" s="562"/>
      <c r="D5" s="562"/>
      <c r="E5" s="562"/>
      <c r="F5" s="562"/>
      <c r="G5" s="562"/>
      <c r="H5" s="562"/>
      <c r="I5" s="562"/>
      <c r="J5" s="565"/>
      <c r="K5" s="562"/>
    </row>
    <row r="6" spans="2:11" ht="12.75" customHeight="1">
      <c r="B6" s="489" t="s">
        <v>408</v>
      </c>
      <c r="C6" s="561"/>
      <c r="D6" s="561"/>
      <c r="E6" s="561"/>
      <c r="F6" s="561"/>
      <c r="G6" s="561"/>
      <c r="H6" s="561"/>
      <c r="I6" s="561"/>
      <c r="J6" s="563"/>
      <c r="K6" s="561"/>
    </row>
    <row r="7" spans="2:11" ht="12.75" customHeight="1">
      <c r="B7" s="489" t="s">
        <v>409</v>
      </c>
      <c r="C7" s="561"/>
      <c r="D7" s="561"/>
      <c r="E7" s="561"/>
      <c r="F7" s="561"/>
      <c r="G7" s="561"/>
      <c r="H7" s="561"/>
      <c r="I7" s="561"/>
      <c r="J7" s="563"/>
      <c r="K7" s="561"/>
    </row>
    <row r="8" spans="2:11" ht="25.5">
      <c r="B8" s="566" t="s">
        <v>406</v>
      </c>
      <c r="C8" s="567">
        <v>1000000</v>
      </c>
      <c r="D8" s="568">
        <v>0.22</v>
      </c>
      <c r="E8" s="568">
        <v>0.22</v>
      </c>
      <c r="F8" s="569" t="s">
        <v>272</v>
      </c>
      <c r="G8" s="570">
        <v>35100929</v>
      </c>
      <c r="H8" s="570">
        <v>19848998</v>
      </c>
      <c r="I8" s="570">
        <v>3200351</v>
      </c>
      <c r="J8" s="571">
        <v>378101</v>
      </c>
      <c r="K8" s="569" t="s">
        <v>47</v>
      </c>
    </row>
    <row r="12" spans="2:4" s="575" customFormat="1" ht="12.75" customHeight="1">
      <c r="B12" s="572" t="s">
        <v>34</v>
      </c>
      <c r="C12" s="573">
        <v>42735</v>
      </c>
      <c r="D12" s="574">
        <v>42369</v>
      </c>
    </row>
    <row r="13" spans="2:4" ht="12.75" customHeight="1">
      <c r="B13" s="953" t="s">
        <v>410</v>
      </c>
      <c r="C13" s="576">
        <f>+C14</f>
        <v>1000000</v>
      </c>
      <c r="D13" s="577">
        <f>+D14</f>
        <v>1000000</v>
      </c>
    </row>
    <row r="14" spans="2:4" ht="12.75" customHeight="1">
      <c r="B14" s="836" t="s">
        <v>411</v>
      </c>
      <c r="C14" s="576">
        <f>+C17</f>
        <v>1000000</v>
      </c>
      <c r="D14" s="577">
        <f>+D17</f>
        <v>1000000</v>
      </c>
    </row>
    <row r="15" spans="2:4" ht="12.75" customHeight="1">
      <c r="B15" s="952" t="s">
        <v>228</v>
      </c>
      <c r="C15" s="576"/>
      <c r="D15" s="577"/>
    </row>
    <row r="16" spans="2:4" ht="12.75" customHeight="1">
      <c r="B16" s="837" t="s">
        <v>213</v>
      </c>
      <c r="C16" s="576"/>
      <c r="D16" s="577"/>
    </row>
    <row r="17" spans="2:4" ht="12.75" customHeight="1">
      <c r="B17" s="838" t="s">
        <v>412</v>
      </c>
      <c r="C17" s="576">
        <v>1000000</v>
      </c>
      <c r="D17" s="577">
        <v>1000000</v>
      </c>
    </row>
    <row r="18" spans="2:4" ht="12.75" customHeight="1">
      <c r="B18" s="836" t="s">
        <v>55</v>
      </c>
      <c r="C18" s="576"/>
      <c r="D18" s="577"/>
    </row>
    <row r="19" spans="2:4" ht="12.75" customHeight="1">
      <c r="B19" s="836" t="s">
        <v>56</v>
      </c>
      <c r="C19" s="576"/>
      <c r="D19" s="577"/>
    </row>
    <row r="20" spans="2:4" ht="12.75" customHeight="1">
      <c r="B20" s="836" t="s">
        <v>57</v>
      </c>
      <c r="C20" s="576"/>
      <c r="D20" s="577"/>
    </row>
    <row r="21" spans="2:4" ht="12.75" customHeight="1">
      <c r="B21" s="578" t="s">
        <v>413</v>
      </c>
      <c r="C21" s="579">
        <f>+C13</f>
        <v>1000000</v>
      </c>
      <c r="D21" s="580">
        <f>+D13</f>
        <v>1000000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P43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4.00390625" style="12" customWidth="1"/>
    <col min="2" max="2" width="5.140625" style="12" customWidth="1"/>
    <col min="3" max="3" width="9.421875" style="12" bestFit="1" customWidth="1"/>
    <col min="4" max="4" width="37.00390625" style="12" customWidth="1"/>
    <col min="5" max="5" width="11.00390625" style="35" customWidth="1"/>
    <col min="6" max="6" width="11.140625" style="35" customWidth="1"/>
    <col min="7" max="7" width="11.00390625" style="35" customWidth="1"/>
    <col min="8" max="8" width="8.28125" style="12" customWidth="1"/>
    <col min="9" max="9" width="10.8515625" style="12" customWidth="1"/>
    <col min="10" max="10" width="10.140625" style="12" bestFit="1" customWidth="1"/>
    <col min="11" max="11" width="11.421875" style="35" customWidth="1"/>
    <col min="12" max="12" width="11.140625" style="35" customWidth="1"/>
    <col min="13" max="13" width="11.00390625" style="35" customWidth="1"/>
    <col min="14" max="14" width="8.421875" style="12" customWidth="1"/>
    <col min="15" max="15" width="10.7109375" style="12" customWidth="1"/>
    <col min="16" max="16" width="8.57421875" style="12" customWidth="1"/>
    <col min="17" max="16384" width="9.140625" style="12" customWidth="1"/>
  </cols>
  <sheetData>
    <row r="2" spans="2:16" ht="15" customHeight="1">
      <c r="B2" s="1980" t="s">
        <v>34</v>
      </c>
      <c r="C2" s="1981"/>
      <c r="D2" s="1982"/>
      <c r="E2" s="2105">
        <v>42735</v>
      </c>
      <c r="F2" s="2107"/>
      <c r="G2" s="2107"/>
      <c r="H2" s="2107"/>
      <c r="I2" s="2107"/>
      <c r="J2" s="2103"/>
      <c r="K2" s="2105">
        <v>42369</v>
      </c>
      <c r="L2" s="2107"/>
      <c r="M2" s="2107"/>
      <c r="N2" s="2107"/>
      <c r="O2" s="2107"/>
      <c r="P2" s="2103"/>
    </row>
    <row r="3" spans="2:16" ht="14.25" customHeight="1">
      <c r="B3" s="1983"/>
      <c r="C3" s="1984"/>
      <c r="D3" s="1985"/>
      <c r="E3" s="2106"/>
      <c r="F3" s="2108"/>
      <c r="G3" s="2108"/>
      <c r="H3" s="2108"/>
      <c r="I3" s="2108"/>
      <c r="J3" s="2104"/>
      <c r="K3" s="2106"/>
      <c r="L3" s="2108"/>
      <c r="M3" s="2108"/>
      <c r="N3" s="2108"/>
      <c r="O3" s="2108"/>
      <c r="P3" s="2104"/>
    </row>
    <row r="4" spans="2:16" ht="27" customHeight="1">
      <c r="B4" s="2109"/>
      <c r="C4" s="2110"/>
      <c r="D4" s="2111"/>
      <c r="E4" s="1996" t="s">
        <v>37</v>
      </c>
      <c r="F4" s="1997"/>
      <c r="G4" s="1998"/>
      <c r="H4" s="1996" t="s">
        <v>618</v>
      </c>
      <c r="I4" s="1997"/>
      <c r="J4" s="1998"/>
      <c r="K4" s="1996" t="s">
        <v>37</v>
      </c>
      <c r="L4" s="1997"/>
      <c r="M4" s="1998"/>
      <c r="N4" s="1996" t="s">
        <v>618</v>
      </c>
      <c r="O4" s="1997"/>
      <c r="P4" s="1998"/>
    </row>
    <row r="5" spans="2:16" ht="27" customHeight="1">
      <c r="B5" s="2112"/>
      <c r="C5" s="2113"/>
      <c r="D5" s="2114"/>
      <c r="E5" s="2101" t="s">
        <v>619</v>
      </c>
      <c r="F5" s="1996" t="s">
        <v>620</v>
      </c>
      <c r="G5" s="1998"/>
      <c r="H5" s="2105" t="s">
        <v>310</v>
      </c>
      <c r="I5" s="2101" t="s">
        <v>311</v>
      </c>
      <c r="J5" s="2103" t="s">
        <v>312</v>
      </c>
      <c r="K5" s="2101" t="s">
        <v>619</v>
      </c>
      <c r="L5" s="1996" t="s">
        <v>620</v>
      </c>
      <c r="M5" s="1998"/>
      <c r="N5" s="2105" t="s">
        <v>310</v>
      </c>
      <c r="O5" s="2101" t="s">
        <v>311</v>
      </c>
      <c r="P5" s="2103" t="s">
        <v>312</v>
      </c>
    </row>
    <row r="6" spans="2:16" ht="14.25" customHeight="1">
      <c r="B6" s="2115"/>
      <c r="C6" s="2116"/>
      <c r="D6" s="2117"/>
      <c r="E6" s="2102"/>
      <c r="F6" s="977" t="s">
        <v>621</v>
      </c>
      <c r="G6" s="143" t="s">
        <v>149</v>
      </c>
      <c r="H6" s="2106"/>
      <c r="I6" s="2102"/>
      <c r="J6" s="2104"/>
      <c r="K6" s="2102"/>
      <c r="L6" s="977" t="s">
        <v>621</v>
      </c>
      <c r="M6" s="143" t="s">
        <v>149</v>
      </c>
      <c r="N6" s="2106"/>
      <c r="O6" s="2102"/>
      <c r="P6" s="2104"/>
    </row>
    <row r="7" spans="2:16" ht="6" customHeight="1">
      <c r="B7" s="50"/>
      <c r="C7" s="85"/>
      <c r="D7" s="86"/>
      <c r="E7" s="47"/>
      <c r="F7" s="4"/>
      <c r="G7" s="64"/>
      <c r="H7" s="983"/>
      <c r="I7" s="47"/>
      <c r="J7" s="984"/>
      <c r="K7" s="47"/>
      <c r="L7" s="4"/>
      <c r="M7" s="64"/>
      <c r="N7" s="983"/>
      <c r="O7" s="47"/>
      <c r="P7" s="984"/>
    </row>
    <row r="8" spans="2:16" ht="15">
      <c r="B8" s="80" t="s">
        <v>0</v>
      </c>
      <c r="C8" s="20" t="s">
        <v>4</v>
      </c>
      <c r="D8" s="6"/>
      <c r="E8" s="84">
        <f aca="true" t="shared" si="0" ref="E8:P8">SUM(E10:E27)</f>
        <v>2112110</v>
      </c>
      <c r="F8" s="79">
        <f t="shared" si="0"/>
        <v>0</v>
      </c>
      <c r="G8" s="79">
        <f t="shared" si="0"/>
        <v>0</v>
      </c>
      <c r="H8" s="79">
        <f t="shared" si="0"/>
        <v>0</v>
      </c>
      <c r="I8" s="79">
        <f t="shared" si="0"/>
        <v>0</v>
      </c>
      <c r="J8" s="84">
        <f t="shared" si="0"/>
        <v>2112110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79">
        <f t="shared" si="0"/>
        <v>0</v>
      </c>
      <c r="P8" s="79">
        <f t="shared" si="0"/>
        <v>0</v>
      </c>
    </row>
    <row r="9" spans="2:16" ht="6" customHeight="1">
      <c r="B9" s="50"/>
      <c r="C9" s="85"/>
      <c r="D9" s="86"/>
      <c r="E9" s="47"/>
      <c r="F9" s="47"/>
      <c r="G9" s="981"/>
      <c r="H9" s="985"/>
      <c r="I9" s="47"/>
      <c r="J9" s="986"/>
      <c r="K9" s="47"/>
      <c r="L9" s="47"/>
      <c r="M9" s="981"/>
      <c r="N9" s="985"/>
      <c r="O9" s="47"/>
      <c r="P9" s="986"/>
    </row>
    <row r="10" spans="2:16" ht="14.25">
      <c r="B10" s="50"/>
      <c r="C10" s="5" t="s">
        <v>622</v>
      </c>
      <c r="D10" s="6"/>
      <c r="E10" s="14"/>
      <c r="F10" s="14"/>
      <c r="G10" s="49"/>
      <c r="H10" s="985"/>
      <c r="I10" s="14"/>
      <c r="J10" s="986"/>
      <c r="K10" s="14"/>
      <c r="L10" s="14"/>
      <c r="M10" s="49"/>
      <c r="N10" s="985"/>
      <c r="O10" s="14"/>
      <c r="P10" s="986"/>
    </row>
    <row r="11" spans="2:16" ht="6" customHeight="1">
      <c r="B11" s="50"/>
      <c r="C11" s="7"/>
      <c r="D11" s="6"/>
      <c r="E11" s="16"/>
      <c r="F11" s="16"/>
      <c r="G11" s="48"/>
      <c r="H11" s="985"/>
      <c r="I11" s="16"/>
      <c r="J11" s="986"/>
      <c r="K11" s="16"/>
      <c r="L11" s="16"/>
      <c r="M11" s="48"/>
      <c r="N11" s="985"/>
      <c r="O11" s="16"/>
      <c r="P11" s="986"/>
    </row>
    <row r="12" spans="2:16" ht="15">
      <c r="B12" s="50"/>
      <c r="C12" s="59" t="s">
        <v>623</v>
      </c>
      <c r="D12" s="6"/>
      <c r="E12" s="16"/>
      <c r="F12" s="16"/>
      <c r="G12" s="48"/>
      <c r="H12" s="985"/>
      <c r="I12" s="16"/>
      <c r="J12" s="986"/>
      <c r="K12" s="16"/>
      <c r="L12" s="16"/>
      <c r="M12" s="48"/>
      <c r="N12" s="985"/>
      <c r="O12" s="16"/>
      <c r="P12" s="986"/>
    </row>
    <row r="13" spans="2:16" ht="6" customHeight="1">
      <c r="B13" s="50"/>
      <c r="C13" s="7"/>
      <c r="D13" s="6"/>
      <c r="E13" s="14"/>
      <c r="F13" s="14"/>
      <c r="G13" s="49"/>
      <c r="H13" s="985"/>
      <c r="I13" s="14"/>
      <c r="J13" s="986"/>
      <c r="K13" s="14"/>
      <c r="L13" s="14"/>
      <c r="M13" s="49"/>
      <c r="N13" s="985"/>
      <c r="O13" s="14"/>
      <c r="P13" s="986"/>
    </row>
    <row r="14" spans="2:16" ht="14.25">
      <c r="B14" s="50"/>
      <c r="C14" s="7" t="s">
        <v>624</v>
      </c>
      <c r="D14" s="6"/>
      <c r="E14" s="14"/>
      <c r="F14" s="14"/>
      <c r="G14" s="49"/>
      <c r="H14" s="985"/>
      <c r="I14" s="14"/>
      <c r="J14" s="986"/>
      <c r="K14" s="14"/>
      <c r="L14" s="14"/>
      <c r="M14" s="49"/>
      <c r="N14" s="985"/>
      <c r="O14" s="14"/>
      <c r="P14" s="986"/>
    </row>
    <row r="15" spans="2:16" ht="6" customHeight="1">
      <c r="B15" s="50"/>
      <c r="C15" s="7"/>
      <c r="D15" s="6"/>
      <c r="E15" s="14"/>
      <c r="F15" s="14"/>
      <c r="G15" s="49"/>
      <c r="H15" s="985"/>
      <c r="I15" s="14"/>
      <c r="J15" s="986"/>
      <c r="K15" s="14"/>
      <c r="L15" s="14"/>
      <c r="M15" s="49"/>
      <c r="N15" s="985"/>
      <c r="O15" s="14"/>
      <c r="P15" s="986"/>
    </row>
    <row r="16" spans="2:16" ht="14.25">
      <c r="B16" s="50"/>
      <c r="C16" s="7" t="s">
        <v>625</v>
      </c>
      <c r="D16" s="6"/>
      <c r="E16" s="14"/>
      <c r="F16" s="14"/>
      <c r="G16" s="49"/>
      <c r="H16" s="985"/>
      <c r="I16" s="14"/>
      <c r="J16" s="986"/>
      <c r="K16" s="14"/>
      <c r="L16" s="14"/>
      <c r="M16" s="49"/>
      <c r="N16" s="985"/>
      <c r="O16" s="14"/>
      <c r="P16" s="986"/>
    </row>
    <row r="17" spans="2:16" ht="6" customHeight="1">
      <c r="B17" s="50"/>
      <c r="C17" s="7"/>
      <c r="D17" s="6"/>
      <c r="E17" s="14"/>
      <c r="F17" s="14"/>
      <c r="G17" s="49"/>
      <c r="H17" s="985"/>
      <c r="I17" s="14"/>
      <c r="J17" s="986"/>
      <c r="K17" s="14"/>
      <c r="L17" s="14"/>
      <c r="M17" s="49"/>
      <c r="N17" s="985"/>
      <c r="O17" s="14"/>
      <c r="P17" s="986"/>
    </row>
    <row r="18" spans="2:16" ht="14.25">
      <c r="B18" s="50"/>
      <c r="C18" s="7" t="s">
        <v>626</v>
      </c>
      <c r="D18" s="6"/>
      <c r="E18" s="14"/>
      <c r="F18" s="14"/>
      <c r="G18" s="49"/>
      <c r="H18" s="985"/>
      <c r="I18" s="14"/>
      <c r="J18" s="986"/>
      <c r="K18" s="14"/>
      <c r="L18" s="14"/>
      <c r="M18" s="49"/>
      <c r="N18" s="985"/>
      <c r="O18" s="14"/>
      <c r="P18" s="986"/>
    </row>
    <row r="19" spans="2:16" ht="6" customHeight="1">
      <c r="B19" s="50"/>
      <c r="C19" s="7"/>
      <c r="D19" s="6"/>
      <c r="E19" s="14"/>
      <c r="F19" s="14"/>
      <c r="G19" s="49"/>
      <c r="H19" s="985"/>
      <c r="I19" s="14"/>
      <c r="J19" s="986"/>
      <c r="K19" s="14"/>
      <c r="L19" s="14"/>
      <c r="M19" s="49"/>
      <c r="N19" s="985"/>
      <c r="O19" s="14"/>
      <c r="P19" s="986"/>
    </row>
    <row r="20" spans="2:16" ht="14.25">
      <c r="B20" s="50"/>
      <c r="C20" s="7" t="s">
        <v>627</v>
      </c>
      <c r="D20" s="6"/>
      <c r="E20" s="14"/>
      <c r="F20" s="14"/>
      <c r="G20" s="49"/>
      <c r="H20" s="985"/>
      <c r="I20" s="14"/>
      <c r="J20" s="986"/>
      <c r="K20" s="14"/>
      <c r="L20" s="14"/>
      <c r="M20" s="49"/>
      <c r="N20" s="985"/>
      <c r="O20" s="14"/>
      <c r="P20" s="986"/>
    </row>
    <row r="21" spans="2:16" ht="6" customHeight="1">
      <c r="B21" s="50"/>
      <c r="C21" s="7"/>
      <c r="D21" s="6"/>
      <c r="E21" s="14"/>
      <c r="F21" s="14"/>
      <c r="G21" s="49"/>
      <c r="H21" s="985"/>
      <c r="I21" s="14"/>
      <c r="J21" s="986"/>
      <c r="K21" s="14"/>
      <c r="L21" s="14"/>
      <c r="M21" s="49"/>
      <c r="N21" s="985"/>
      <c r="O21" s="14"/>
      <c r="P21" s="986"/>
    </row>
    <row r="22" spans="2:16" ht="14.25">
      <c r="B22" s="50"/>
      <c r="C22" s="7" t="s">
        <v>628</v>
      </c>
      <c r="D22" s="6"/>
      <c r="E22" s="14"/>
      <c r="F22" s="14"/>
      <c r="G22" s="49"/>
      <c r="H22" s="985"/>
      <c r="I22" s="14"/>
      <c r="J22" s="986"/>
      <c r="K22" s="14"/>
      <c r="L22" s="14"/>
      <c r="M22" s="49"/>
      <c r="N22" s="985"/>
      <c r="O22" s="14"/>
      <c r="P22" s="986"/>
    </row>
    <row r="23" spans="2:16" ht="6" customHeight="1">
      <c r="B23" s="50"/>
      <c r="C23" s="7"/>
      <c r="D23" s="6"/>
      <c r="E23" s="14"/>
      <c r="F23" s="14"/>
      <c r="G23" s="49"/>
      <c r="H23" s="985"/>
      <c r="I23" s="14"/>
      <c r="J23" s="986"/>
      <c r="K23" s="14"/>
      <c r="L23" s="14"/>
      <c r="M23" s="49"/>
      <c r="N23" s="985"/>
      <c r="O23" s="14"/>
      <c r="P23" s="986"/>
    </row>
    <row r="24" spans="2:16" ht="31.5" customHeight="1">
      <c r="B24" s="50"/>
      <c r="C24" s="1969" t="s">
        <v>629</v>
      </c>
      <c r="D24" s="1970"/>
      <c r="E24" s="14"/>
      <c r="F24" s="14"/>
      <c r="G24" s="49"/>
      <c r="H24" s="985"/>
      <c r="I24" s="14"/>
      <c r="J24" s="986"/>
      <c r="K24" s="14"/>
      <c r="L24" s="14"/>
      <c r="M24" s="49"/>
      <c r="N24" s="985"/>
      <c r="O24" s="14"/>
      <c r="P24" s="986"/>
    </row>
    <row r="25" spans="2:16" ht="6" customHeight="1">
      <c r="B25" s="50"/>
      <c r="C25" s="7"/>
      <c r="D25" s="6"/>
      <c r="E25" s="14"/>
      <c r="F25" s="14"/>
      <c r="G25" s="49"/>
      <c r="H25" s="985"/>
      <c r="I25" s="14"/>
      <c r="J25" s="986"/>
      <c r="K25" s="14"/>
      <c r="L25" s="14"/>
      <c r="M25" s="49"/>
      <c r="N25" s="985"/>
      <c r="O25" s="14"/>
      <c r="P25" s="986"/>
    </row>
    <row r="26" spans="2:16" ht="14.25">
      <c r="B26" s="50"/>
      <c r="C26" s="7" t="s">
        <v>630</v>
      </c>
      <c r="D26" s="6"/>
      <c r="E26" s="84">
        <v>2112110</v>
      </c>
      <c r="F26" s="79">
        <f>SUM(F28:F30)</f>
        <v>0</v>
      </c>
      <c r="G26" s="79">
        <f>SUM(G28:G30)</f>
        <v>0</v>
      </c>
      <c r="H26" s="79">
        <f>SUM(H28:H30)</f>
        <v>0</v>
      </c>
      <c r="I26" s="79">
        <f>SUM(I28:I30)</f>
        <v>0</v>
      </c>
      <c r="J26" s="84">
        <v>2112110</v>
      </c>
      <c r="K26" s="79">
        <f aca="true" t="shared" si="1" ref="K26:P26">SUM(K28:K30)</f>
        <v>0</v>
      </c>
      <c r="L26" s="79">
        <f t="shared" si="1"/>
        <v>0</v>
      </c>
      <c r="M26" s="79">
        <f t="shared" si="1"/>
        <v>0</v>
      </c>
      <c r="N26" s="79">
        <f t="shared" si="1"/>
        <v>0</v>
      </c>
      <c r="O26" s="79">
        <f t="shared" si="1"/>
        <v>0</v>
      </c>
      <c r="P26" s="79">
        <f t="shared" si="1"/>
        <v>0</v>
      </c>
    </row>
    <row r="27" spans="2:16" ht="14.25">
      <c r="B27" s="50"/>
      <c r="C27" s="59" t="s">
        <v>631</v>
      </c>
      <c r="D27" s="6"/>
      <c r="E27" s="79">
        <f aca="true" t="shared" si="2" ref="E27:P29">SUM(E29:E31)</f>
        <v>0</v>
      </c>
      <c r="F27" s="79">
        <f t="shared" si="2"/>
        <v>0</v>
      </c>
      <c r="G27" s="79">
        <f t="shared" si="2"/>
        <v>0</v>
      </c>
      <c r="H27" s="79">
        <f t="shared" si="2"/>
        <v>0</v>
      </c>
      <c r="I27" s="79">
        <f t="shared" si="2"/>
        <v>0</v>
      </c>
      <c r="J27" s="79">
        <f t="shared" si="2"/>
        <v>0</v>
      </c>
      <c r="K27" s="79"/>
      <c r="L27" s="15"/>
      <c r="M27" s="79"/>
      <c r="N27" s="79"/>
      <c r="O27" s="79"/>
      <c r="P27" s="986"/>
    </row>
    <row r="28" spans="2:16" ht="6" customHeight="1">
      <c r="B28" s="50"/>
      <c r="C28" s="7"/>
      <c r="D28" s="6"/>
      <c r="E28" s="16"/>
      <c r="F28" s="16"/>
      <c r="G28" s="48"/>
      <c r="H28" s="16"/>
      <c r="I28" s="16"/>
      <c r="J28" s="986"/>
      <c r="K28" s="16"/>
      <c r="L28" s="16"/>
      <c r="M28" s="48"/>
      <c r="N28" s="16"/>
      <c r="O28" s="16"/>
      <c r="P28" s="986"/>
    </row>
    <row r="29" spans="2:16" ht="15">
      <c r="B29" s="80" t="s">
        <v>2</v>
      </c>
      <c r="C29" s="30" t="s">
        <v>1</v>
      </c>
      <c r="D29" s="6"/>
      <c r="E29" s="79">
        <f t="shared" si="2"/>
        <v>0</v>
      </c>
      <c r="F29" s="79">
        <f t="shared" si="2"/>
        <v>0</v>
      </c>
      <c r="G29" s="79">
        <f t="shared" si="2"/>
        <v>0</v>
      </c>
      <c r="H29" s="79">
        <f t="shared" si="2"/>
        <v>0</v>
      </c>
      <c r="I29" s="79">
        <f t="shared" si="2"/>
        <v>0</v>
      </c>
      <c r="J29" s="79">
        <f t="shared" si="2"/>
        <v>0</v>
      </c>
      <c r="K29" s="79">
        <f t="shared" si="2"/>
        <v>0</v>
      </c>
      <c r="L29" s="79">
        <f t="shared" si="2"/>
        <v>0</v>
      </c>
      <c r="M29" s="79">
        <f t="shared" si="2"/>
        <v>0</v>
      </c>
      <c r="N29" s="79">
        <f t="shared" si="2"/>
        <v>0</v>
      </c>
      <c r="O29" s="79">
        <f t="shared" si="2"/>
        <v>0</v>
      </c>
      <c r="P29" s="79">
        <f t="shared" si="2"/>
        <v>0</v>
      </c>
    </row>
    <row r="30" spans="2:16" ht="6" customHeight="1">
      <c r="B30" s="50"/>
      <c r="C30" s="7"/>
      <c r="D30" s="6"/>
      <c r="E30" s="14"/>
      <c r="F30" s="14"/>
      <c r="G30" s="49"/>
      <c r="H30" s="14"/>
      <c r="I30" s="14"/>
      <c r="J30" s="986"/>
      <c r="K30" s="14"/>
      <c r="L30" s="14"/>
      <c r="M30" s="49"/>
      <c r="N30" s="14"/>
      <c r="O30" s="14"/>
      <c r="P30" s="986"/>
    </row>
    <row r="31" spans="2:16" ht="14.25">
      <c r="B31" s="50"/>
      <c r="C31" s="60" t="s">
        <v>632</v>
      </c>
      <c r="D31" s="6"/>
      <c r="E31" s="14"/>
      <c r="F31" s="14"/>
      <c r="G31" s="49"/>
      <c r="H31" s="14"/>
      <c r="I31" s="14"/>
      <c r="J31" s="986"/>
      <c r="K31" s="14"/>
      <c r="L31" s="14"/>
      <c r="M31" s="49"/>
      <c r="N31" s="14"/>
      <c r="O31" s="14"/>
      <c r="P31" s="986"/>
    </row>
    <row r="32" spans="2:16" ht="6" customHeight="1">
      <c r="B32" s="50"/>
      <c r="C32" s="7"/>
      <c r="D32" s="6"/>
      <c r="E32" s="14"/>
      <c r="F32" s="14"/>
      <c r="G32" s="49"/>
      <c r="H32" s="14"/>
      <c r="I32" s="14"/>
      <c r="J32" s="986"/>
      <c r="K32" s="14"/>
      <c r="L32" s="14"/>
      <c r="M32" s="49"/>
      <c r="N32" s="14"/>
      <c r="O32" s="14"/>
      <c r="P32" s="986"/>
    </row>
    <row r="33" spans="2:16" ht="14.25">
      <c r="B33" s="50"/>
      <c r="C33" s="60" t="s">
        <v>633</v>
      </c>
      <c r="D33" s="6"/>
      <c r="E33" s="14"/>
      <c r="F33" s="14"/>
      <c r="G33" s="49"/>
      <c r="H33" s="14"/>
      <c r="I33" s="14"/>
      <c r="J33" s="986"/>
      <c r="K33" s="14"/>
      <c r="L33" s="14"/>
      <c r="M33" s="49"/>
      <c r="N33" s="14"/>
      <c r="O33" s="14"/>
      <c r="P33" s="986"/>
    </row>
    <row r="34" spans="2:16" ht="6" customHeight="1">
      <c r="B34" s="50"/>
      <c r="C34" s="7"/>
      <c r="D34" s="6"/>
      <c r="E34" s="16"/>
      <c r="F34" s="16"/>
      <c r="G34" s="48"/>
      <c r="H34" s="16"/>
      <c r="I34" s="16"/>
      <c r="J34" s="986"/>
      <c r="K34" s="16"/>
      <c r="L34" s="16"/>
      <c r="M34" s="48"/>
      <c r="N34" s="16"/>
      <c r="O34" s="16"/>
      <c r="P34" s="986"/>
    </row>
    <row r="35" spans="2:16" ht="15">
      <c r="B35" s="987" t="s">
        <v>3</v>
      </c>
      <c r="C35" s="30" t="s">
        <v>634</v>
      </c>
      <c r="D35" s="6"/>
      <c r="E35" s="84">
        <f>6223448+3031261</f>
        <v>9254709</v>
      </c>
      <c r="F35" s="930">
        <v>0</v>
      </c>
      <c r="G35" s="930">
        <v>0</v>
      </c>
      <c r="H35" s="930">
        <v>0</v>
      </c>
      <c r="I35" s="84">
        <f>6223448+3031261</f>
        <v>9254709</v>
      </c>
      <c r="J35" s="79">
        <v>0</v>
      </c>
      <c r="K35" s="84">
        <v>6905022</v>
      </c>
      <c r="L35" s="930">
        <v>0</v>
      </c>
      <c r="M35" s="930">
        <v>0</v>
      </c>
      <c r="N35" s="930">
        <v>0</v>
      </c>
      <c r="O35" s="84">
        <v>6905022</v>
      </c>
      <c r="P35" s="79">
        <v>0</v>
      </c>
    </row>
    <row r="36" spans="2:16" ht="6" customHeight="1">
      <c r="B36" s="50"/>
      <c r="C36" s="7"/>
      <c r="D36" s="27"/>
      <c r="E36" s="28"/>
      <c r="F36" s="28"/>
      <c r="G36" s="51"/>
      <c r="H36" s="28"/>
      <c r="I36" s="28"/>
      <c r="J36" s="988"/>
      <c r="K36" s="28"/>
      <c r="L36" s="28"/>
      <c r="M36" s="51"/>
      <c r="N36" s="28"/>
      <c r="O36" s="28"/>
      <c r="P36" s="988"/>
    </row>
    <row r="37" spans="2:16" ht="21.75" customHeight="1">
      <c r="B37" s="989"/>
      <c r="C37" s="990"/>
      <c r="D37" s="991" t="s">
        <v>35</v>
      </c>
      <c r="E37" s="992">
        <f>E8+E29+E35</f>
        <v>11366819</v>
      </c>
      <c r="F37" s="993">
        <f>SUM(F7:F36)</f>
        <v>0</v>
      </c>
      <c r="G37" s="993">
        <f>SUM(G7:G36)</f>
        <v>0</v>
      </c>
      <c r="H37" s="993">
        <f>SUM(H7:H36)</f>
        <v>0</v>
      </c>
      <c r="I37" s="992">
        <f>I8+I29+I35</f>
        <v>9254709</v>
      </c>
      <c r="J37" s="992">
        <f>J8+J29+J35</f>
        <v>2112110</v>
      </c>
      <c r="K37" s="992">
        <f>K8+K29+K35</f>
        <v>6905022</v>
      </c>
      <c r="L37" s="993">
        <f>SUM(L7:L36)</f>
        <v>0</v>
      </c>
      <c r="M37" s="993">
        <f>SUM(M7:M36)</f>
        <v>0</v>
      </c>
      <c r="N37" s="993">
        <f>SUM(N7:N36)</f>
        <v>0</v>
      </c>
      <c r="O37" s="992">
        <f>O8+O29+O35</f>
        <v>6905022</v>
      </c>
      <c r="P37" s="993">
        <f>SUM(P7:P36)</f>
        <v>0</v>
      </c>
    </row>
    <row r="40" spans="5:12" ht="14.25">
      <c r="E40" s="994"/>
      <c r="F40" s="994"/>
      <c r="K40" s="994"/>
      <c r="L40" s="994"/>
    </row>
    <row r="43" spans="5:12" ht="14.25">
      <c r="E43" s="994"/>
      <c r="F43" s="994"/>
      <c r="K43" s="994"/>
      <c r="L43" s="994"/>
    </row>
    <row r="44" ht="13.5" customHeight="1"/>
  </sheetData>
  <sheetProtection/>
  <mergeCells count="19">
    <mergeCell ref="B2:D3"/>
    <mergeCell ref="E2:J3"/>
    <mergeCell ref="K2:P3"/>
    <mergeCell ref="B4:D6"/>
    <mergeCell ref="E4:G4"/>
    <mergeCell ref="H4:J4"/>
    <mergeCell ref="K4:M4"/>
    <mergeCell ref="N4:P4"/>
    <mergeCell ref="E5:E6"/>
    <mergeCell ref="F5:G5"/>
    <mergeCell ref="O5:O6"/>
    <mergeCell ref="P5:P6"/>
    <mergeCell ref="C24:D24"/>
    <mergeCell ref="H5:H6"/>
    <mergeCell ref="I5:I6"/>
    <mergeCell ref="J5:J6"/>
    <mergeCell ref="K5:K6"/>
    <mergeCell ref="L5:M5"/>
    <mergeCell ref="N5:N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00390625" style="12" customWidth="1"/>
    <col min="2" max="2" width="9.421875" style="12" bestFit="1" customWidth="1"/>
    <col min="3" max="3" width="47.421875" style="12" customWidth="1"/>
    <col min="4" max="5" width="17.421875" style="35" customWidth="1"/>
    <col min="6" max="16384" width="9.140625" style="12" customWidth="1"/>
  </cols>
  <sheetData>
    <row r="2" spans="2:5" ht="37.5" customHeight="1">
      <c r="B2" s="2067" t="s">
        <v>638</v>
      </c>
      <c r="C2" s="2067"/>
      <c r="D2" s="143">
        <v>42735</v>
      </c>
      <c r="E2" s="143">
        <v>42369</v>
      </c>
    </row>
    <row r="3" spans="2:5" ht="6" customHeight="1">
      <c r="B3" s="1"/>
      <c r="C3" s="3"/>
      <c r="D3" s="47"/>
      <c r="E3" s="47"/>
    </row>
    <row r="4" spans="2:5" ht="14.25">
      <c r="B4" s="1055" t="s">
        <v>639</v>
      </c>
      <c r="C4" s="6"/>
      <c r="D4" s="84">
        <v>2292</v>
      </c>
      <c r="E4" s="84">
        <v>3433</v>
      </c>
    </row>
    <row r="5" spans="2:5" ht="6" customHeight="1">
      <c r="B5" s="40"/>
      <c r="C5" s="6"/>
      <c r="D5" s="84"/>
      <c r="E5" s="14"/>
    </row>
    <row r="6" spans="2:5" ht="14.25">
      <c r="B6" s="40" t="s">
        <v>640</v>
      </c>
      <c r="C6" s="6"/>
      <c r="D6" s="84">
        <v>78368</v>
      </c>
      <c r="E6" s="14">
        <v>39585</v>
      </c>
    </row>
    <row r="7" spans="2:5" ht="6" customHeight="1">
      <c r="B7" s="40"/>
      <c r="C7" s="6"/>
      <c r="D7" s="84"/>
      <c r="E7" s="14"/>
    </row>
    <row r="8" spans="2:5" ht="14.25">
      <c r="B8" s="40" t="s">
        <v>641</v>
      </c>
      <c r="C8" s="6"/>
      <c r="D8" s="84">
        <f>820004+76186</f>
        <v>896190</v>
      </c>
      <c r="E8" s="84">
        <f>194755+629995+2642010</f>
        <v>3466760</v>
      </c>
    </row>
    <row r="9" spans="2:5" ht="6" customHeight="1">
      <c r="B9" s="40"/>
      <c r="C9" s="6"/>
      <c r="D9" s="84"/>
      <c r="E9" s="14"/>
    </row>
    <row r="10" spans="2:5" ht="14.25">
      <c r="B10" s="40" t="s">
        <v>642</v>
      </c>
      <c r="C10" s="6"/>
      <c r="D10" s="84">
        <f>6000000+1605</f>
        <v>6001605</v>
      </c>
      <c r="E10" s="84">
        <f>6000000+8947</f>
        <v>6008947</v>
      </c>
    </row>
    <row r="11" spans="2:5" ht="6" customHeight="1">
      <c r="B11" s="40"/>
      <c r="C11" s="6"/>
      <c r="D11" s="84"/>
      <c r="E11" s="14"/>
    </row>
    <row r="12" spans="2:5" ht="14.25">
      <c r="B12" s="40" t="s">
        <v>643</v>
      </c>
      <c r="C12" s="6"/>
      <c r="D12" s="84">
        <v>1500000</v>
      </c>
      <c r="E12" s="84">
        <v>1500000</v>
      </c>
    </row>
    <row r="13" spans="2:5" ht="6" customHeight="1">
      <c r="B13" s="40"/>
      <c r="C13" s="6"/>
      <c r="D13" s="84"/>
      <c r="E13" s="14"/>
    </row>
    <row r="14" spans="2:5" ht="14.25">
      <c r="B14" s="40" t="s">
        <v>644</v>
      </c>
      <c r="C14" s="6"/>
      <c r="D14" s="84">
        <v>500000</v>
      </c>
      <c r="E14" s="84">
        <v>2200000</v>
      </c>
    </row>
    <row r="15" spans="2:5" ht="6" customHeight="1">
      <c r="B15" s="40"/>
      <c r="C15" s="6"/>
      <c r="D15" s="84"/>
      <c r="E15" s="14"/>
    </row>
    <row r="16" spans="2:5" ht="14.25">
      <c r="B16" s="40" t="s">
        <v>645</v>
      </c>
      <c r="C16" s="6"/>
      <c r="D16" s="84">
        <v>1657</v>
      </c>
      <c r="E16" s="14">
        <f>2523.53+(10157263-6000000-1500000-2642010)+53121</f>
        <v>70897.53</v>
      </c>
    </row>
    <row r="17" spans="2:5" ht="6" customHeight="1">
      <c r="B17" s="40"/>
      <c r="C17" s="6"/>
      <c r="D17" s="84"/>
      <c r="E17" s="14"/>
    </row>
    <row r="18" spans="2:5" ht="14.25">
      <c r="B18" s="40" t="s">
        <v>646</v>
      </c>
      <c r="C18" s="6"/>
      <c r="D18" s="84">
        <v>44297</v>
      </c>
      <c r="E18" s="14">
        <v>35590</v>
      </c>
    </row>
    <row r="19" spans="2:5" ht="6" customHeight="1">
      <c r="B19" s="40"/>
      <c r="C19" s="6"/>
      <c r="D19" s="864"/>
      <c r="E19" s="16"/>
    </row>
    <row r="20" spans="2:5" ht="14.25">
      <c r="B20" s="40" t="s">
        <v>647</v>
      </c>
      <c r="C20" s="6"/>
      <c r="D20" s="84">
        <v>55481</v>
      </c>
      <c r="E20" s="14">
        <f>500+487+10980+279</f>
        <v>12246</v>
      </c>
    </row>
    <row r="21" spans="2:5" ht="6" customHeight="1">
      <c r="B21" s="40"/>
      <c r="C21" s="27"/>
      <c r="D21" s="28"/>
      <c r="E21" s="28"/>
    </row>
    <row r="22" spans="2:5" ht="21.75" customHeight="1">
      <c r="B22" s="989"/>
      <c r="C22" s="991" t="s">
        <v>35</v>
      </c>
      <c r="D22" s="992">
        <f>SUM(D3:D21)</f>
        <v>9079890</v>
      </c>
      <c r="E22" s="992">
        <f>SUM(E3:E21)</f>
        <v>13337458.53</v>
      </c>
    </row>
    <row r="25" ht="14.25">
      <c r="D25" s="994">
        <f>+D22</f>
        <v>9079890</v>
      </c>
    </row>
    <row r="26" ht="14.25">
      <c r="D26" s="994"/>
    </row>
    <row r="27" ht="14.25">
      <c r="D27" s="994">
        <v>9079890</v>
      </c>
    </row>
    <row r="28" ht="14.25">
      <c r="D28" s="994">
        <f>+D25-D27</f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R251"/>
  <sheetViews>
    <sheetView zoomScale="90" zoomScaleNormal="90" zoomScaleSheetLayoutView="8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7" sqref="B37"/>
    </sheetView>
  </sheetViews>
  <sheetFormatPr defaultColWidth="13.421875" defaultRowHeight="12.75"/>
  <cols>
    <col min="1" max="1" width="5.7109375" style="752" customWidth="1"/>
    <col min="2" max="2" width="51.00390625" style="752" customWidth="1"/>
    <col min="3" max="18" width="17.7109375" style="789" customWidth="1"/>
    <col min="19" max="25" width="13.421875" style="789" customWidth="1"/>
    <col min="26" max="26" width="15.28125" style="789" customWidth="1"/>
    <col min="27" max="16384" width="13.421875" style="789" customWidth="1"/>
  </cols>
  <sheetData>
    <row r="1" spans="2:13" ht="18" customHeight="1" thickBot="1">
      <c r="B1" s="757"/>
      <c r="C1" s="786"/>
      <c r="D1" s="787"/>
      <c r="E1" s="787"/>
      <c r="F1" s="787"/>
      <c r="G1" s="787"/>
      <c r="H1" s="787"/>
      <c r="I1" s="787"/>
      <c r="J1" s="787"/>
      <c r="K1" s="787"/>
      <c r="L1" s="788"/>
      <c r="M1" s="786"/>
    </row>
    <row r="2" spans="2:18" ht="18" customHeight="1" thickTop="1">
      <c r="B2" s="759" t="str">
        <f>Riepilogo!B2</f>
        <v>VENETO SVILUPPO S.P.A. - Documento Anticorruzione e Trasparenza</v>
      </c>
      <c r="C2" s="790"/>
      <c r="D2" s="790"/>
      <c r="E2" s="790"/>
      <c r="F2" s="790"/>
      <c r="G2" s="790"/>
      <c r="H2" s="790"/>
      <c r="I2" s="790"/>
      <c r="J2" s="790"/>
      <c r="K2" s="790"/>
      <c r="L2" s="791"/>
      <c r="M2" s="791"/>
      <c r="N2" s="791"/>
      <c r="O2" s="791"/>
      <c r="P2" s="791"/>
      <c r="Q2" s="792"/>
      <c r="R2" s="792"/>
    </row>
    <row r="3" spans="2:18" ht="18" customHeight="1">
      <c r="B3" s="1948" t="str">
        <f>Riepilogo!B3</f>
        <v>PARTECIPAZIONI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3"/>
      <c r="N3" s="243"/>
      <c r="O3" s="243"/>
      <c r="P3" s="243"/>
      <c r="Q3" s="793"/>
      <c r="R3" s="793"/>
    </row>
    <row r="4" spans="2:18" ht="18" customHeight="1" thickBot="1">
      <c r="B4" s="1949"/>
      <c r="C4" s="794"/>
      <c r="D4" s="794"/>
      <c r="E4" s="794"/>
      <c r="F4" s="794"/>
      <c r="G4" s="794"/>
      <c r="H4" s="794"/>
      <c r="I4" s="794"/>
      <c r="J4" s="794"/>
      <c r="K4" s="794"/>
      <c r="L4" s="795"/>
      <c r="M4" s="796"/>
      <c r="N4" s="796"/>
      <c r="O4" s="796"/>
      <c r="P4" s="796"/>
      <c r="Q4" s="797"/>
      <c r="R4" s="797"/>
    </row>
    <row r="5" spans="2:18" ht="18" customHeight="1" thickTop="1">
      <c r="B5" s="760"/>
      <c r="C5" s="798" t="s">
        <v>95</v>
      </c>
      <c r="D5" s="798" t="s">
        <v>144</v>
      </c>
      <c r="E5" s="798" t="s">
        <v>145</v>
      </c>
      <c r="F5" s="798"/>
      <c r="G5" s="798"/>
      <c r="H5" s="798"/>
      <c r="I5" s="798"/>
      <c r="J5" s="798"/>
      <c r="K5" s="798"/>
      <c r="L5" s="1945" t="s">
        <v>539</v>
      </c>
      <c r="M5" s="1945" t="s">
        <v>540</v>
      </c>
      <c r="N5" s="1945" t="s">
        <v>541</v>
      </c>
      <c r="O5" s="1945" t="s">
        <v>542</v>
      </c>
      <c r="P5" s="1945" t="s">
        <v>543</v>
      </c>
      <c r="Q5" s="1945" t="s">
        <v>566</v>
      </c>
      <c r="R5" s="1945" t="s">
        <v>696</v>
      </c>
    </row>
    <row r="6" spans="2:18" ht="18" customHeight="1">
      <c r="B6" s="761" t="s">
        <v>93</v>
      </c>
      <c r="C6" s="799" t="s">
        <v>158</v>
      </c>
      <c r="D6" s="800" t="s">
        <v>159</v>
      </c>
      <c r="E6" s="799" t="s">
        <v>160</v>
      </c>
      <c r="F6" s="799" t="s">
        <v>538</v>
      </c>
      <c r="G6" s="799" t="s">
        <v>538</v>
      </c>
      <c r="H6" s="799" t="s">
        <v>538</v>
      </c>
      <c r="I6" s="799" t="s">
        <v>538</v>
      </c>
      <c r="J6" s="799" t="s">
        <v>538</v>
      </c>
      <c r="K6" s="799" t="s">
        <v>538</v>
      </c>
      <c r="L6" s="1946"/>
      <c r="M6" s="1946"/>
      <c r="N6" s="1946"/>
      <c r="O6" s="1946"/>
      <c r="P6" s="1946"/>
      <c r="Q6" s="1946"/>
      <c r="R6" s="1946"/>
    </row>
    <row r="7" spans="2:18" ht="18" customHeight="1" thickBot="1">
      <c r="B7" s="762"/>
      <c r="C7" s="751">
        <v>38353</v>
      </c>
      <c r="D7" s="801" t="s">
        <v>175</v>
      </c>
      <c r="E7" s="751">
        <v>38353</v>
      </c>
      <c r="F7" s="751" t="s">
        <v>532</v>
      </c>
      <c r="G7" s="751" t="s">
        <v>533</v>
      </c>
      <c r="H7" s="751" t="s">
        <v>534</v>
      </c>
      <c r="I7" s="751" t="s">
        <v>535</v>
      </c>
      <c r="J7" s="751" t="s">
        <v>536</v>
      </c>
      <c r="K7" s="751" t="s">
        <v>537</v>
      </c>
      <c r="L7" s="1947"/>
      <c r="M7" s="1947"/>
      <c r="N7" s="1947"/>
      <c r="O7" s="1947"/>
      <c r="P7" s="1947"/>
      <c r="Q7" s="1947"/>
      <c r="R7" s="1947"/>
    </row>
    <row r="8" spans="2:18" ht="18" customHeight="1">
      <c r="B8" s="806" t="str">
        <f>Riepilogo!D81</f>
        <v>Autodromo del Veneto S.p.A.</v>
      </c>
      <c r="C8" s="735"/>
      <c r="D8" s="735"/>
      <c r="E8" s="735"/>
      <c r="F8" s="735"/>
      <c r="G8" s="735"/>
      <c r="H8" s="748"/>
      <c r="I8" s="735"/>
      <c r="J8" s="735"/>
      <c r="K8" s="735"/>
      <c r="L8" s="735"/>
      <c r="M8" s="778"/>
      <c r="N8" s="778"/>
      <c r="O8" s="778"/>
      <c r="P8" s="778"/>
      <c r="Q8" s="778"/>
      <c r="R8" s="778"/>
    </row>
    <row r="9" spans="2:18" ht="18" customHeight="1">
      <c r="B9" s="765" t="s">
        <v>253</v>
      </c>
      <c r="C9" s="735"/>
      <c r="D9" s="735"/>
      <c r="E9" s="735"/>
      <c r="F9" s="735"/>
      <c r="G9" s="735"/>
      <c r="H9" s="735"/>
      <c r="I9" s="735"/>
      <c r="J9" s="735"/>
      <c r="K9" s="735">
        <v>0</v>
      </c>
      <c r="L9" s="735">
        <v>0</v>
      </c>
      <c r="M9" s="779">
        <v>0</v>
      </c>
      <c r="N9" s="779">
        <v>0</v>
      </c>
      <c r="O9" s="779">
        <v>0</v>
      </c>
      <c r="P9" s="779">
        <v>0</v>
      </c>
      <c r="Q9" s="779">
        <v>0</v>
      </c>
      <c r="R9" s="779">
        <v>0</v>
      </c>
    </row>
    <row r="10" spans="2:18" ht="18" customHeight="1">
      <c r="B10" s="766" t="s">
        <v>252</v>
      </c>
      <c r="C10" s="737"/>
      <c r="D10" s="737"/>
      <c r="E10" s="737"/>
      <c r="F10" s="754"/>
      <c r="G10" s="754"/>
      <c r="H10" s="754"/>
      <c r="I10" s="754"/>
      <c r="J10" s="754"/>
      <c r="K10" s="754">
        <f>($D9+SUM($F9:K9))</f>
        <v>0</v>
      </c>
      <c r="L10" s="754">
        <f>($D9+SUM($F9:L9))</f>
        <v>0</v>
      </c>
      <c r="M10" s="780">
        <f>($D9+SUM($F9:M9))</f>
        <v>0</v>
      </c>
      <c r="N10" s="780">
        <f>($D9+SUM($F9:N9))</f>
        <v>0</v>
      </c>
      <c r="O10" s="780">
        <f>($D9+SUM($F9:O9))</f>
        <v>0</v>
      </c>
      <c r="P10" s="780">
        <f>($D9+SUM($F9:P9))</f>
        <v>0</v>
      </c>
      <c r="Q10" s="780">
        <f>($D9+SUM($F9:Q9))</f>
        <v>0</v>
      </c>
      <c r="R10" s="780">
        <f>($D9+SUM($F9:R9))</f>
        <v>0</v>
      </c>
    </row>
    <row r="11" spans="2:18" ht="12" customHeight="1">
      <c r="B11" s="767"/>
      <c r="C11" s="740"/>
      <c r="D11" s="740"/>
      <c r="E11" s="740"/>
      <c r="F11" s="740"/>
      <c r="G11" s="740"/>
      <c r="H11" s="740"/>
      <c r="I11" s="740"/>
      <c r="J11" s="740"/>
      <c r="K11" s="742"/>
      <c r="L11" s="743"/>
      <c r="M11" s="781"/>
      <c r="N11" s="781"/>
      <c r="O11" s="781"/>
      <c r="P11" s="781"/>
      <c r="Q11" s="781"/>
      <c r="R11" s="781"/>
    </row>
    <row r="12" spans="2:18" ht="18" customHeight="1">
      <c r="B12" s="768" t="s">
        <v>557</v>
      </c>
      <c r="C12" s="735"/>
      <c r="D12" s="735"/>
      <c r="E12" s="735"/>
      <c r="F12" s="735"/>
      <c r="G12" s="735"/>
      <c r="H12" s="735"/>
      <c r="I12" s="735"/>
      <c r="J12" s="735"/>
      <c r="K12" s="735">
        <v>0</v>
      </c>
      <c r="L12" s="735">
        <v>0</v>
      </c>
      <c r="M12" s="779">
        <v>0</v>
      </c>
      <c r="N12" s="779">
        <v>0</v>
      </c>
      <c r="O12" s="779">
        <v>0</v>
      </c>
      <c r="P12" s="779">
        <v>0</v>
      </c>
      <c r="Q12" s="779">
        <v>0</v>
      </c>
      <c r="R12" s="779">
        <v>-107499</v>
      </c>
    </row>
    <row r="13" spans="2:18" ht="18" customHeight="1">
      <c r="B13" s="769" t="s">
        <v>251</v>
      </c>
      <c r="C13" s="735"/>
      <c r="D13" s="735"/>
      <c r="E13" s="735"/>
      <c r="F13" s="735"/>
      <c r="G13" s="735"/>
      <c r="H13" s="735"/>
      <c r="I13" s="735"/>
      <c r="J13" s="735"/>
      <c r="K13" s="735">
        <v>0</v>
      </c>
      <c r="L13" s="735">
        <v>0</v>
      </c>
      <c r="M13" s="779">
        <v>0</v>
      </c>
      <c r="N13" s="779">
        <v>0</v>
      </c>
      <c r="O13" s="779">
        <v>0</v>
      </c>
      <c r="P13" s="779">
        <v>0</v>
      </c>
      <c r="Q13" s="779">
        <v>0</v>
      </c>
      <c r="R13" s="779">
        <v>0</v>
      </c>
    </row>
    <row r="14" spans="2:18" ht="18" customHeight="1">
      <c r="B14" s="769" t="s">
        <v>225</v>
      </c>
      <c r="C14" s="735"/>
      <c r="D14" s="735"/>
      <c r="E14" s="738"/>
      <c r="F14" s="738"/>
      <c r="G14" s="738"/>
      <c r="H14" s="738"/>
      <c r="I14" s="738"/>
      <c r="J14" s="738"/>
      <c r="K14" s="738">
        <v>0</v>
      </c>
      <c r="L14" s="738">
        <v>0</v>
      </c>
      <c r="M14" s="782">
        <v>0</v>
      </c>
      <c r="N14" s="782">
        <v>0</v>
      </c>
      <c r="O14" s="782">
        <v>0</v>
      </c>
      <c r="P14" s="782">
        <v>0</v>
      </c>
      <c r="Q14" s="782">
        <v>0</v>
      </c>
      <c r="R14" s="782">
        <v>0</v>
      </c>
    </row>
    <row r="15" spans="2:18" ht="18" customHeight="1">
      <c r="B15" s="776" t="s">
        <v>559</v>
      </c>
      <c r="C15" s="737"/>
      <c r="D15" s="737"/>
      <c r="E15" s="737"/>
      <c r="F15" s="736"/>
      <c r="G15" s="736"/>
      <c r="H15" s="736"/>
      <c r="I15" s="736"/>
      <c r="J15" s="736"/>
      <c r="K15" s="736">
        <f>SUM(K12:K14)</f>
        <v>0</v>
      </c>
      <c r="L15" s="736">
        <f aca="true" t="shared" si="0" ref="L15:Q15">SUM(L12:L14)</f>
        <v>0</v>
      </c>
      <c r="M15" s="783">
        <f t="shared" si="0"/>
        <v>0</v>
      </c>
      <c r="N15" s="783">
        <f t="shared" si="0"/>
        <v>0</v>
      </c>
      <c r="O15" s="783">
        <f t="shared" si="0"/>
        <v>0</v>
      </c>
      <c r="P15" s="783">
        <f t="shared" si="0"/>
        <v>0</v>
      </c>
      <c r="Q15" s="783">
        <f t="shared" si="0"/>
        <v>0</v>
      </c>
      <c r="R15" s="783">
        <f>SUM(R12:R14)</f>
        <v>-107499</v>
      </c>
    </row>
    <row r="16" spans="2:18" ht="12" customHeight="1">
      <c r="B16" s="767"/>
      <c r="C16" s="740"/>
      <c r="D16" s="740"/>
      <c r="E16" s="740"/>
      <c r="F16" s="740"/>
      <c r="G16" s="740"/>
      <c r="H16" s="740"/>
      <c r="I16" s="740"/>
      <c r="J16" s="740"/>
      <c r="K16" s="742"/>
      <c r="L16" s="743"/>
      <c r="M16" s="781"/>
      <c r="N16" s="781"/>
      <c r="O16" s="781"/>
      <c r="P16" s="781"/>
      <c r="Q16" s="781"/>
      <c r="R16" s="781"/>
    </row>
    <row r="17" spans="2:18" ht="18" customHeight="1">
      <c r="B17" s="763"/>
      <c r="C17" s="1173"/>
      <c r="D17" s="800"/>
      <c r="E17" s="1173"/>
      <c r="F17" s="1173"/>
      <c r="G17" s="1173"/>
      <c r="H17" s="1173"/>
      <c r="I17" s="1173"/>
      <c r="J17" s="1173"/>
      <c r="K17" s="1173"/>
      <c r="L17" s="1098"/>
      <c r="M17" s="1098"/>
      <c r="N17" s="1098"/>
      <c r="O17" s="1098"/>
      <c r="P17" s="1098"/>
      <c r="Q17" s="1098"/>
      <c r="R17" s="1098"/>
    </row>
    <row r="18" spans="2:18" ht="18" customHeight="1">
      <c r="B18" s="806" t="str">
        <f>Riepilogo!D53</f>
        <v>Bellelli Engineering S.r.l.</v>
      </c>
      <c r="C18" s="735"/>
      <c r="D18" s="735"/>
      <c r="E18" s="735"/>
      <c r="F18" s="735"/>
      <c r="G18" s="735"/>
      <c r="H18" s="748"/>
      <c r="I18" s="735"/>
      <c r="J18" s="735"/>
      <c r="K18" s="735"/>
      <c r="L18" s="735"/>
      <c r="M18" s="778"/>
      <c r="N18" s="778"/>
      <c r="O18" s="778"/>
      <c r="P18" s="778"/>
      <c r="Q18" s="778"/>
      <c r="R18" s="778"/>
    </row>
    <row r="19" spans="2:18" ht="18" customHeight="1">
      <c r="B19" s="765" t="s">
        <v>253</v>
      </c>
      <c r="C19" s="735"/>
      <c r="D19" s="735"/>
      <c r="E19" s="735"/>
      <c r="F19" s="735"/>
      <c r="G19" s="735"/>
      <c r="H19" s="735"/>
      <c r="I19" s="735"/>
      <c r="J19" s="735"/>
      <c r="K19" s="735">
        <v>0</v>
      </c>
      <c r="L19" s="735">
        <v>0</v>
      </c>
      <c r="M19" s="779">
        <v>0</v>
      </c>
      <c r="N19" s="779">
        <v>0</v>
      </c>
      <c r="O19" s="779">
        <v>0</v>
      </c>
      <c r="P19" s="779">
        <v>0</v>
      </c>
      <c r="Q19" s="779">
        <v>0</v>
      </c>
      <c r="R19" s="779">
        <v>0</v>
      </c>
    </row>
    <row r="20" spans="2:18" ht="18" customHeight="1">
      <c r="B20" s="766" t="s">
        <v>252</v>
      </c>
      <c r="C20" s="737"/>
      <c r="D20" s="737"/>
      <c r="E20" s="737"/>
      <c r="F20" s="754"/>
      <c r="G20" s="754"/>
      <c r="H20" s="754"/>
      <c r="I20" s="754"/>
      <c r="J20" s="754"/>
      <c r="K20" s="754">
        <f>($D19+SUM($F19:K19))</f>
        <v>0</v>
      </c>
      <c r="L20" s="754">
        <f>($D19+SUM($F19:L19))</f>
        <v>0</v>
      </c>
      <c r="M20" s="780">
        <f>($D19+SUM($F19:M19))</f>
        <v>0</v>
      </c>
      <c r="N20" s="780">
        <f>($D19+SUM($F19:N19))</f>
        <v>0</v>
      </c>
      <c r="O20" s="780">
        <f>($D19+SUM($F19:O19))</f>
        <v>0</v>
      </c>
      <c r="P20" s="780">
        <f>($D19+SUM($F19:P19))</f>
        <v>0</v>
      </c>
      <c r="Q20" s="780">
        <f>($D19+SUM($F19:Q19))</f>
        <v>0</v>
      </c>
      <c r="R20" s="780">
        <f>($D19+SUM($F19:R19))</f>
        <v>0</v>
      </c>
    </row>
    <row r="21" spans="2:18" ht="12" customHeight="1">
      <c r="B21" s="767"/>
      <c r="C21" s="740"/>
      <c r="D21" s="740"/>
      <c r="E21" s="740"/>
      <c r="F21" s="740"/>
      <c r="G21" s="740"/>
      <c r="H21" s="740"/>
      <c r="I21" s="740"/>
      <c r="J21" s="740"/>
      <c r="K21" s="742"/>
      <c r="L21" s="743"/>
      <c r="M21" s="781"/>
      <c r="N21" s="781"/>
      <c r="O21" s="781"/>
      <c r="P21" s="781"/>
      <c r="Q21" s="781"/>
      <c r="R21" s="781"/>
    </row>
    <row r="22" spans="2:18" ht="18" customHeight="1">
      <c r="B22" s="768" t="s">
        <v>557</v>
      </c>
      <c r="C22" s="735"/>
      <c r="D22" s="735"/>
      <c r="E22" s="735"/>
      <c r="F22" s="735"/>
      <c r="G22" s="735"/>
      <c r="H22" s="735"/>
      <c r="I22" s="735"/>
      <c r="J22" s="735"/>
      <c r="K22" s="735">
        <v>0</v>
      </c>
      <c r="L22" s="735">
        <v>0</v>
      </c>
      <c r="M22" s="779">
        <v>0</v>
      </c>
      <c r="N22" s="779">
        <v>0</v>
      </c>
      <c r="O22" s="779">
        <v>-246112.95</v>
      </c>
      <c r="P22" s="779">
        <v>0</v>
      </c>
      <c r="Q22" s="779">
        <v>0</v>
      </c>
      <c r="R22" s="779">
        <v>-999999</v>
      </c>
    </row>
    <row r="23" spans="2:18" ht="18" customHeight="1">
      <c r="B23" s="769" t="s">
        <v>251</v>
      </c>
      <c r="C23" s="735"/>
      <c r="D23" s="735"/>
      <c r="E23" s="735"/>
      <c r="F23" s="735"/>
      <c r="G23" s="735"/>
      <c r="H23" s="735"/>
      <c r="I23" s="735"/>
      <c r="J23" s="735"/>
      <c r="K23" s="735">
        <v>0</v>
      </c>
      <c r="L23" s="735">
        <v>0</v>
      </c>
      <c r="M23" s="779">
        <v>0</v>
      </c>
      <c r="N23" s="779">
        <v>0</v>
      </c>
      <c r="O23" s="779">
        <v>0</v>
      </c>
      <c r="P23" s="779">
        <v>0</v>
      </c>
      <c r="Q23" s="779">
        <v>0</v>
      </c>
      <c r="R23" s="779">
        <v>0</v>
      </c>
    </row>
    <row r="24" spans="2:18" ht="18" customHeight="1">
      <c r="B24" s="769" t="s">
        <v>225</v>
      </c>
      <c r="C24" s="735"/>
      <c r="D24" s="735"/>
      <c r="E24" s="738"/>
      <c r="F24" s="738"/>
      <c r="G24" s="738"/>
      <c r="H24" s="738"/>
      <c r="I24" s="738"/>
      <c r="J24" s="738"/>
      <c r="K24" s="738">
        <v>0</v>
      </c>
      <c r="L24" s="738">
        <v>0</v>
      </c>
      <c r="M24" s="782">
        <v>0</v>
      </c>
      <c r="N24" s="782">
        <v>0</v>
      </c>
      <c r="O24" s="782">
        <v>0</v>
      </c>
      <c r="P24" s="782">
        <v>0</v>
      </c>
      <c r="Q24" s="782">
        <v>0</v>
      </c>
      <c r="R24" s="782">
        <v>0</v>
      </c>
    </row>
    <row r="25" spans="2:18" ht="18" customHeight="1">
      <c r="B25" s="776" t="s">
        <v>559</v>
      </c>
      <c r="C25" s="737"/>
      <c r="D25" s="737"/>
      <c r="E25" s="737"/>
      <c r="F25" s="736"/>
      <c r="G25" s="736"/>
      <c r="H25" s="736"/>
      <c r="I25" s="736"/>
      <c r="J25" s="736"/>
      <c r="K25" s="736">
        <f>SUM(K22:K24)</f>
        <v>0</v>
      </c>
      <c r="L25" s="736">
        <f aca="true" t="shared" si="1" ref="L25:Q25">SUM(L22:L24)</f>
        <v>0</v>
      </c>
      <c r="M25" s="783">
        <f t="shared" si="1"/>
        <v>0</v>
      </c>
      <c r="N25" s="783">
        <f t="shared" si="1"/>
        <v>0</v>
      </c>
      <c r="O25" s="783">
        <f t="shared" si="1"/>
        <v>-246112.95</v>
      </c>
      <c r="P25" s="783">
        <f t="shared" si="1"/>
        <v>0</v>
      </c>
      <c r="Q25" s="783">
        <f t="shared" si="1"/>
        <v>0</v>
      </c>
      <c r="R25" s="783">
        <f>SUM(R22:R24)</f>
        <v>-999999</v>
      </c>
    </row>
    <row r="26" spans="2:18" ht="12" customHeight="1">
      <c r="B26" s="767"/>
      <c r="C26" s="740"/>
      <c r="D26" s="740"/>
      <c r="E26" s="740"/>
      <c r="F26" s="740"/>
      <c r="G26" s="740"/>
      <c r="H26" s="740"/>
      <c r="I26" s="740"/>
      <c r="J26" s="740"/>
      <c r="K26" s="742"/>
      <c r="L26" s="743"/>
      <c r="M26" s="781"/>
      <c r="N26" s="781"/>
      <c r="O26" s="781"/>
      <c r="P26" s="781"/>
      <c r="Q26" s="781"/>
      <c r="R26" s="781"/>
    </row>
    <row r="27" spans="2:18" ht="18" customHeight="1">
      <c r="B27" s="763"/>
      <c r="C27" s="741"/>
      <c r="D27" s="741"/>
      <c r="E27" s="741"/>
      <c r="F27" s="745"/>
      <c r="G27" s="741"/>
      <c r="H27" s="745"/>
      <c r="I27" s="745"/>
      <c r="J27" s="745"/>
      <c r="K27" s="746"/>
      <c r="L27" s="747"/>
      <c r="M27" s="777"/>
      <c r="N27" s="777"/>
      <c r="O27" s="777"/>
      <c r="P27" s="777"/>
      <c r="Q27" s="777"/>
      <c r="R27" s="777"/>
    </row>
    <row r="28" spans="2:18" ht="18" customHeight="1">
      <c r="B28" s="764" t="str">
        <f>Riepilogo!D10</f>
        <v>Cielle S.r.l.</v>
      </c>
      <c r="C28" s="735"/>
      <c r="D28" s="735"/>
      <c r="E28" s="735"/>
      <c r="F28" s="735"/>
      <c r="G28" s="735"/>
      <c r="H28" s="748"/>
      <c r="I28" s="735"/>
      <c r="J28" s="735"/>
      <c r="K28" s="735"/>
      <c r="L28" s="735"/>
      <c r="M28" s="778"/>
      <c r="N28" s="778"/>
      <c r="O28" s="778"/>
      <c r="P28" s="778"/>
      <c r="Q28" s="778"/>
      <c r="R28" s="778"/>
    </row>
    <row r="29" spans="2:18" ht="18" customHeight="1">
      <c r="B29" s="765" t="s">
        <v>253</v>
      </c>
      <c r="C29" s="735"/>
      <c r="D29" s="735"/>
      <c r="E29" s="735"/>
      <c r="F29" s="735"/>
      <c r="G29" s="735"/>
      <c r="H29" s="735"/>
      <c r="I29" s="735"/>
      <c r="J29" s="735"/>
      <c r="K29" s="735">
        <v>0</v>
      </c>
      <c r="L29" s="735">
        <v>0</v>
      </c>
      <c r="M29" s="779">
        <v>0</v>
      </c>
      <c r="N29" s="779">
        <v>0</v>
      </c>
      <c r="O29" s="779">
        <v>0</v>
      </c>
      <c r="P29" s="779">
        <v>0</v>
      </c>
      <c r="Q29" s="779">
        <v>0</v>
      </c>
      <c r="R29" s="779">
        <v>0</v>
      </c>
    </row>
    <row r="30" spans="2:18" ht="18" customHeight="1">
      <c r="B30" s="766" t="s">
        <v>252</v>
      </c>
      <c r="C30" s="737"/>
      <c r="D30" s="737"/>
      <c r="E30" s="737"/>
      <c r="F30" s="754"/>
      <c r="G30" s="754"/>
      <c r="H30" s="754"/>
      <c r="I30" s="754"/>
      <c r="J30" s="754"/>
      <c r="K30" s="754">
        <f>($D29+SUM($F29:K29))</f>
        <v>0</v>
      </c>
      <c r="L30" s="754">
        <f>($D29+SUM($F29:L29))</f>
        <v>0</v>
      </c>
      <c r="M30" s="780">
        <f>($D29+SUM($F29:M29))</f>
        <v>0</v>
      </c>
      <c r="N30" s="780">
        <f>($D29+SUM($F29:N29))</f>
        <v>0</v>
      </c>
      <c r="O30" s="780">
        <f>($D29+SUM($F29:O29))</f>
        <v>0</v>
      </c>
      <c r="P30" s="780">
        <f>($D29+SUM($F29:P29))</f>
        <v>0</v>
      </c>
      <c r="Q30" s="780">
        <f>($D29+SUM($F29:Q29))</f>
        <v>0</v>
      </c>
      <c r="R30" s="780">
        <f>($D29+SUM($F29:R29))</f>
        <v>0</v>
      </c>
    </row>
    <row r="31" spans="2:18" ht="12" customHeight="1">
      <c r="B31" s="767"/>
      <c r="C31" s="740"/>
      <c r="D31" s="740"/>
      <c r="E31" s="740"/>
      <c r="F31" s="740"/>
      <c r="G31" s="740"/>
      <c r="H31" s="740"/>
      <c r="I31" s="740"/>
      <c r="J31" s="740"/>
      <c r="K31" s="742"/>
      <c r="L31" s="743"/>
      <c r="M31" s="781"/>
      <c r="N31" s="781"/>
      <c r="O31" s="781"/>
      <c r="P31" s="781"/>
      <c r="Q31" s="781"/>
      <c r="R31" s="781"/>
    </row>
    <row r="32" spans="2:18" ht="18" customHeight="1">
      <c r="B32" s="768" t="s">
        <v>557</v>
      </c>
      <c r="C32" s="735"/>
      <c r="D32" s="735"/>
      <c r="E32" s="735"/>
      <c r="F32" s="735"/>
      <c r="G32" s="735"/>
      <c r="H32" s="735"/>
      <c r="I32" s="735"/>
      <c r="J32" s="735"/>
      <c r="K32" s="735">
        <v>0</v>
      </c>
      <c r="L32" s="735">
        <v>0</v>
      </c>
      <c r="M32" s="779">
        <v>0</v>
      </c>
      <c r="N32" s="779">
        <v>0</v>
      </c>
      <c r="O32" s="779">
        <v>-246112.95</v>
      </c>
      <c r="P32" s="779">
        <v>0</v>
      </c>
      <c r="Q32" s="779">
        <v>0</v>
      </c>
      <c r="R32" s="779">
        <v>0</v>
      </c>
    </row>
    <row r="33" spans="2:18" ht="18" customHeight="1">
      <c r="B33" s="769" t="s">
        <v>251</v>
      </c>
      <c r="C33" s="735"/>
      <c r="D33" s="735"/>
      <c r="E33" s="735"/>
      <c r="F33" s="735"/>
      <c r="G33" s="735"/>
      <c r="H33" s="735"/>
      <c r="I33" s="735"/>
      <c r="J33" s="735"/>
      <c r="K33" s="735">
        <v>0</v>
      </c>
      <c r="L33" s="735">
        <v>0</v>
      </c>
      <c r="M33" s="779">
        <v>0</v>
      </c>
      <c r="N33" s="779">
        <v>0</v>
      </c>
      <c r="O33" s="779">
        <v>0</v>
      </c>
      <c r="P33" s="779">
        <v>0</v>
      </c>
      <c r="Q33" s="779">
        <v>0</v>
      </c>
      <c r="R33" s="779">
        <v>0</v>
      </c>
    </row>
    <row r="34" spans="2:18" ht="18" customHeight="1">
      <c r="B34" s="769" t="s">
        <v>225</v>
      </c>
      <c r="C34" s="735"/>
      <c r="D34" s="735"/>
      <c r="E34" s="738"/>
      <c r="F34" s="738"/>
      <c r="G34" s="738"/>
      <c r="H34" s="738"/>
      <c r="I34" s="738"/>
      <c r="J34" s="738"/>
      <c r="K34" s="738">
        <v>0</v>
      </c>
      <c r="L34" s="738">
        <v>0</v>
      </c>
      <c r="M34" s="782">
        <v>0</v>
      </c>
      <c r="N34" s="782">
        <v>0</v>
      </c>
      <c r="O34" s="782">
        <v>0</v>
      </c>
      <c r="P34" s="782">
        <v>0</v>
      </c>
      <c r="Q34" s="782">
        <v>0</v>
      </c>
      <c r="R34" s="782">
        <v>0</v>
      </c>
    </row>
    <row r="35" spans="2:18" ht="18" customHeight="1">
      <c r="B35" s="776" t="s">
        <v>559</v>
      </c>
      <c r="C35" s="737"/>
      <c r="D35" s="737"/>
      <c r="E35" s="737"/>
      <c r="F35" s="736"/>
      <c r="G35" s="736"/>
      <c r="H35" s="736"/>
      <c r="I35" s="736"/>
      <c r="J35" s="736"/>
      <c r="K35" s="736">
        <f>SUM(K32:K34)</f>
        <v>0</v>
      </c>
      <c r="L35" s="736">
        <f aca="true" t="shared" si="2" ref="L35:Q35">SUM(L32:L34)</f>
        <v>0</v>
      </c>
      <c r="M35" s="783">
        <f t="shared" si="2"/>
        <v>0</v>
      </c>
      <c r="N35" s="783">
        <f t="shared" si="2"/>
        <v>0</v>
      </c>
      <c r="O35" s="783">
        <f t="shared" si="2"/>
        <v>-246112.95</v>
      </c>
      <c r="P35" s="783">
        <f t="shared" si="2"/>
        <v>0</v>
      </c>
      <c r="Q35" s="783">
        <f t="shared" si="2"/>
        <v>0</v>
      </c>
      <c r="R35" s="783">
        <f>SUM(R32:R34)</f>
        <v>0</v>
      </c>
    </row>
    <row r="36" spans="2:18" ht="12" customHeight="1">
      <c r="B36" s="767"/>
      <c r="C36" s="740"/>
      <c r="D36" s="740"/>
      <c r="E36" s="740"/>
      <c r="F36" s="740"/>
      <c r="G36" s="740"/>
      <c r="H36" s="740"/>
      <c r="I36" s="740"/>
      <c r="J36" s="740"/>
      <c r="K36" s="742"/>
      <c r="L36" s="743"/>
      <c r="M36" s="781"/>
      <c r="N36" s="781"/>
      <c r="O36" s="781"/>
      <c r="P36" s="781"/>
      <c r="Q36" s="781"/>
      <c r="R36" s="781"/>
    </row>
    <row r="37" spans="2:18" ht="18" customHeight="1">
      <c r="B37" s="765" t="s">
        <v>556</v>
      </c>
      <c r="C37" s="735"/>
      <c r="D37" s="735"/>
      <c r="E37" s="735"/>
      <c r="F37" s="753"/>
      <c r="G37" s="753"/>
      <c r="H37" s="753"/>
      <c r="I37" s="753"/>
      <c r="J37" s="753"/>
      <c r="K37" s="753">
        <f aca="true" t="shared" si="3" ref="K37:Q37">J37+K35</f>
        <v>0</v>
      </c>
      <c r="L37" s="753">
        <f t="shared" si="3"/>
        <v>0</v>
      </c>
      <c r="M37" s="784">
        <f t="shared" si="3"/>
        <v>0</v>
      </c>
      <c r="N37" s="784">
        <f t="shared" si="3"/>
        <v>0</v>
      </c>
      <c r="O37" s="783">
        <f t="shared" si="3"/>
        <v>-246112.95</v>
      </c>
      <c r="P37" s="783">
        <f t="shared" si="3"/>
        <v>-246112.95</v>
      </c>
      <c r="Q37" s="783">
        <f t="shared" si="3"/>
        <v>-246112.95</v>
      </c>
      <c r="R37" s="783">
        <f>Q37+R35</f>
        <v>-246112.95</v>
      </c>
    </row>
    <row r="38" spans="2:18" ht="18" customHeight="1">
      <c r="B38" s="770"/>
      <c r="C38" s="744"/>
      <c r="D38" s="744"/>
      <c r="E38" s="744"/>
      <c r="F38" s="744"/>
      <c r="G38" s="744"/>
      <c r="H38" s="744"/>
      <c r="I38" s="744"/>
      <c r="J38" s="744"/>
      <c r="K38" s="744"/>
      <c r="L38" s="744"/>
      <c r="M38" s="785"/>
      <c r="N38" s="785"/>
      <c r="O38" s="785"/>
      <c r="P38" s="785"/>
      <c r="Q38" s="785"/>
      <c r="R38" s="785"/>
    </row>
    <row r="39" spans="2:18" ht="18" customHeight="1">
      <c r="B39" s="764" t="str">
        <f>Riepilogo!D40</f>
        <v>Giesse S.r.l. </v>
      </c>
      <c r="C39" s="735"/>
      <c r="D39" s="735"/>
      <c r="E39" s="735"/>
      <c r="F39" s="735"/>
      <c r="G39" s="735"/>
      <c r="H39" s="748"/>
      <c r="I39" s="735"/>
      <c r="J39" s="735"/>
      <c r="K39" s="735"/>
      <c r="L39" s="735"/>
      <c r="M39" s="778"/>
      <c r="N39" s="778"/>
      <c r="O39" s="778"/>
      <c r="P39" s="778"/>
      <c r="Q39" s="778"/>
      <c r="R39" s="778"/>
    </row>
    <row r="40" spans="2:18" ht="18" customHeight="1">
      <c r="B40" s="765" t="s">
        <v>253</v>
      </c>
      <c r="C40" s="735"/>
      <c r="D40" s="735"/>
      <c r="E40" s="735"/>
      <c r="F40" s="735"/>
      <c r="G40" s="735"/>
      <c r="H40" s="735"/>
      <c r="I40" s="735"/>
      <c r="J40" s="735"/>
      <c r="K40" s="735"/>
      <c r="L40" s="735">
        <v>0</v>
      </c>
      <c r="M40" s="779">
        <v>0</v>
      </c>
      <c r="N40" s="779">
        <v>0</v>
      </c>
      <c r="O40" s="779">
        <v>0</v>
      </c>
      <c r="P40" s="779">
        <v>0</v>
      </c>
      <c r="Q40" s="779">
        <v>0</v>
      </c>
      <c r="R40" s="779">
        <v>0</v>
      </c>
    </row>
    <row r="41" spans="2:18" ht="18" customHeight="1">
      <c r="B41" s="766" t="s">
        <v>252</v>
      </c>
      <c r="C41" s="737"/>
      <c r="D41" s="737"/>
      <c r="E41" s="737"/>
      <c r="F41" s="754"/>
      <c r="G41" s="754"/>
      <c r="H41" s="754"/>
      <c r="I41" s="754"/>
      <c r="J41" s="754"/>
      <c r="K41" s="754"/>
      <c r="L41" s="754">
        <f>($D40+SUM($F40:L40))</f>
        <v>0</v>
      </c>
      <c r="M41" s="780">
        <f>($D40+SUM($F40:M40))</f>
        <v>0</v>
      </c>
      <c r="N41" s="780">
        <f>($D40+SUM($F40:N40))</f>
        <v>0</v>
      </c>
      <c r="O41" s="780">
        <f>($D40+SUM($F40:O40))</f>
        <v>0</v>
      </c>
      <c r="P41" s="780">
        <f>($D40+SUM($F40:P40))</f>
        <v>0</v>
      </c>
      <c r="Q41" s="780">
        <f>($D40+SUM($F40:Q40))</f>
        <v>0</v>
      </c>
      <c r="R41" s="780">
        <f>($D40+SUM($F40:R40))</f>
        <v>0</v>
      </c>
    </row>
    <row r="42" spans="2:18" ht="12" customHeight="1">
      <c r="B42" s="767"/>
      <c r="C42" s="740"/>
      <c r="D42" s="740"/>
      <c r="E42" s="740"/>
      <c r="F42" s="740"/>
      <c r="G42" s="740"/>
      <c r="H42" s="740"/>
      <c r="I42" s="740"/>
      <c r="J42" s="740"/>
      <c r="K42" s="742"/>
      <c r="L42" s="743"/>
      <c r="M42" s="781"/>
      <c r="N42" s="781"/>
      <c r="O42" s="781"/>
      <c r="P42" s="781"/>
      <c r="Q42" s="781"/>
      <c r="R42" s="781"/>
    </row>
    <row r="43" spans="2:18" ht="18" customHeight="1">
      <c r="B43" s="769" t="s">
        <v>557</v>
      </c>
      <c r="C43" s="735"/>
      <c r="D43" s="735"/>
      <c r="E43" s="735"/>
      <c r="F43" s="735"/>
      <c r="G43" s="735"/>
      <c r="H43" s="735"/>
      <c r="I43" s="735"/>
      <c r="J43" s="735"/>
      <c r="K43" s="735"/>
      <c r="L43" s="735">
        <v>0</v>
      </c>
      <c r="M43" s="779">
        <v>-1499999</v>
      </c>
      <c r="N43" s="779">
        <v>0</v>
      </c>
      <c r="O43" s="779">
        <v>0</v>
      </c>
      <c r="P43" s="779">
        <v>0</v>
      </c>
      <c r="Q43" s="779">
        <v>0</v>
      </c>
      <c r="R43" s="779">
        <v>0</v>
      </c>
    </row>
    <row r="44" spans="2:18" ht="18" customHeight="1">
      <c r="B44" s="769" t="s">
        <v>251</v>
      </c>
      <c r="C44" s="735"/>
      <c r="D44" s="735"/>
      <c r="E44" s="735"/>
      <c r="F44" s="735"/>
      <c r="G44" s="735"/>
      <c r="H44" s="735"/>
      <c r="I44" s="735"/>
      <c r="J44" s="735"/>
      <c r="K44" s="735"/>
      <c r="L44" s="735">
        <v>0</v>
      </c>
      <c r="M44" s="779">
        <v>0</v>
      </c>
      <c r="N44" s="779">
        <v>0</v>
      </c>
      <c r="O44" s="779">
        <v>0</v>
      </c>
      <c r="P44" s="779">
        <v>0</v>
      </c>
      <c r="Q44" s="779">
        <v>0</v>
      </c>
      <c r="R44" s="779">
        <v>0</v>
      </c>
    </row>
    <row r="45" spans="2:18" ht="18" customHeight="1">
      <c r="B45" s="769" t="s">
        <v>225</v>
      </c>
      <c r="C45" s="735"/>
      <c r="D45" s="735"/>
      <c r="E45" s="738"/>
      <c r="F45" s="738"/>
      <c r="G45" s="738"/>
      <c r="H45" s="738"/>
      <c r="I45" s="738"/>
      <c r="J45" s="738"/>
      <c r="K45" s="738"/>
      <c r="L45" s="738">
        <v>0</v>
      </c>
      <c r="M45" s="782">
        <v>0</v>
      </c>
      <c r="N45" s="782">
        <v>0</v>
      </c>
      <c r="O45" s="782">
        <v>0</v>
      </c>
      <c r="P45" s="782">
        <v>0</v>
      </c>
      <c r="Q45" s="782">
        <v>0</v>
      </c>
      <c r="R45" s="782">
        <v>0</v>
      </c>
    </row>
    <row r="46" spans="2:18" ht="18" customHeight="1">
      <c r="B46" s="776" t="s">
        <v>559</v>
      </c>
      <c r="C46" s="737"/>
      <c r="D46" s="737"/>
      <c r="E46" s="737"/>
      <c r="F46" s="736"/>
      <c r="G46" s="736"/>
      <c r="H46" s="736"/>
      <c r="I46" s="736"/>
      <c r="J46" s="736"/>
      <c r="K46" s="736"/>
      <c r="L46" s="736">
        <f aca="true" t="shared" si="4" ref="L46:Q46">SUM(L43:L45)</f>
        <v>0</v>
      </c>
      <c r="M46" s="783">
        <f t="shared" si="4"/>
        <v>-1499999</v>
      </c>
      <c r="N46" s="783">
        <f t="shared" si="4"/>
        <v>0</v>
      </c>
      <c r="O46" s="783">
        <f t="shared" si="4"/>
        <v>0</v>
      </c>
      <c r="P46" s="783">
        <f t="shared" si="4"/>
        <v>0</v>
      </c>
      <c r="Q46" s="783">
        <f t="shared" si="4"/>
        <v>0</v>
      </c>
      <c r="R46" s="783">
        <f>SUM(R43:R45)</f>
        <v>0</v>
      </c>
    </row>
    <row r="47" spans="2:18" ht="12" customHeight="1">
      <c r="B47" s="767"/>
      <c r="C47" s="740"/>
      <c r="D47" s="740"/>
      <c r="E47" s="740"/>
      <c r="F47" s="740"/>
      <c r="G47" s="740"/>
      <c r="H47" s="740"/>
      <c r="I47" s="740"/>
      <c r="J47" s="740"/>
      <c r="K47" s="742"/>
      <c r="L47" s="743"/>
      <c r="M47" s="781"/>
      <c r="N47" s="781"/>
      <c r="O47" s="781"/>
      <c r="P47" s="781"/>
      <c r="Q47" s="781"/>
      <c r="R47" s="781"/>
    </row>
    <row r="48" spans="2:18" ht="18" customHeight="1">
      <c r="B48" s="765" t="s">
        <v>556</v>
      </c>
      <c r="C48" s="735"/>
      <c r="D48" s="735"/>
      <c r="E48" s="735"/>
      <c r="F48" s="753"/>
      <c r="G48" s="753"/>
      <c r="H48" s="753"/>
      <c r="I48" s="753"/>
      <c r="J48" s="753"/>
      <c r="K48" s="753"/>
      <c r="L48" s="753">
        <f aca="true" t="shared" si="5" ref="L48:R48">K48+L46</f>
        <v>0</v>
      </c>
      <c r="M48" s="783">
        <f t="shared" si="5"/>
        <v>-1499999</v>
      </c>
      <c r="N48" s="783">
        <f t="shared" si="5"/>
        <v>-1499999</v>
      </c>
      <c r="O48" s="783">
        <f t="shared" si="5"/>
        <v>-1499999</v>
      </c>
      <c r="P48" s="783">
        <f t="shared" si="5"/>
        <v>-1499999</v>
      </c>
      <c r="Q48" s="783">
        <f t="shared" si="5"/>
        <v>-1499999</v>
      </c>
      <c r="R48" s="783">
        <f t="shared" si="5"/>
        <v>-1499999</v>
      </c>
    </row>
    <row r="49" spans="2:18" ht="18" customHeight="1">
      <c r="B49" s="771"/>
      <c r="C49" s="741"/>
      <c r="D49" s="741"/>
      <c r="E49" s="741"/>
      <c r="F49" s="734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34"/>
      <c r="R49" s="734"/>
    </row>
    <row r="50" spans="2:18" ht="18" customHeight="1">
      <c r="B50" s="764" t="str">
        <f>Riepilogo!D42</f>
        <v>Nuove Energie S.r.l.</v>
      </c>
      <c r="C50" s="735"/>
      <c r="D50" s="735"/>
      <c r="E50" s="735"/>
      <c r="F50" s="735"/>
      <c r="G50" s="735"/>
      <c r="H50" s="748"/>
      <c r="I50" s="735"/>
      <c r="J50" s="735"/>
      <c r="K50" s="735"/>
      <c r="L50" s="735"/>
      <c r="M50" s="749"/>
      <c r="N50" s="749"/>
      <c r="O50" s="749"/>
      <c r="P50" s="749"/>
      <c r="Q50" s="749"/>
      <c r="R50" s="749"/>
    </row>
    <row r="51" spans="2:18" ht="18" customHeight="1">
      <c r="B51" s="765" t="s">
        <v>253</v>
      </c>
      <c r="C51" s="735"/>
      <c r="D51" s="735"/>
      <c r="E51" s="735"/>
      <c r="F51" s="735"/>
      <c r="G51" s="735"/>
      <c r="H51" s="735"/>
      <c r="I51" s="735"/>
      <c r="J51" s="735"/>
      <c r="K51" s="735">
        <v>0</v>
      </c>
      <c r="L51" s="735">
        <v>0</v>
      </c>
      <c r="M51" s="735">
        <v>0</v>
      </c>
      <c r="N51" s="735">
        <v>0</v>
      </c>
      <c r="O51" s="735">
        <v>0</v>
      </c>
      <c r="P51" s="735">
        <v>0</v>
      </c>
      <c r="Q51" s="735">
        <v>0</v>
      </c>
      <c r="R51" s="735">
        <v>0</v>
      </c>
    </row>
    <row r="52" spans="2:18" ht="18" customHeight="1">
      <c r="B52" s="766" t="s">
        <v>252</v>
      </c>
      <c r="C52" s="737"/>
      <c r="D52" s="737"/>
      <c r="E52" s="737"/>
      <c r="F52" s="754"/>
      <c r="G52" s="754"/>
      <c r="H52" s="754"/>
      <c r="I52" s="754"/>
      <c r="J52" s="754"/>
      <c r="K52" s="754">
        <f>($D51+SUM($F51:K51))</f>
        <v>0</v>
      </c>
      <c r="L52" s="754">
        <f>($D51+SUM($F51:L51))</f>
        <v>0</v>
      </c>
      <c r="M52" s="754">
        <f>($D51+SUM($F51:M51))</f>
        <v>0</v>
      </c>
      <c r="N52" s="754">
        <f>($D51+SUM($F51:N51))</f>
        <v>0</v>
      </c>
      <c r="O52" s="754">
        <f>($D51+SUM($F51:O51))</f>
        <v>0</v>
      </c>
      <c r="P52" s="754">
        <f>($D51+SUM($F51:P51))</f>
        <v>0</v>
      </c>
      <c r="Q52" s="754">
        <f>($D51+SUM($F51:Q51))</f>
        <v>0</v>
      </c>
      <c r="R52" s="754">
        <f>($D51+SUM($F51:R51))</f>
        <v>0</v>
      </c>
    </row>
    <row r="53" spans="2:18" ht="12" customHeight="1">
      <c r="B53" s="767"/>
      <c r="C53" s="740"/>
      <c r="D53" s="740"/>
      <c r="E53" s="740"/>
      <c r="F53" s="740"/>
      <c r="G53" s="740"/>
      <c r="H53" s="740"/>
      <c r="I53" s="740"/>
      <c r="J53" s="740"/>
      <c r="K53" s="742"/>
      <c r="L53" s="743"/>
      <c r="M53" s="743"/>
      <c r="N53" s="743"/>
      <c r="O53" s="743"/>
      <c r="P53" s="743"/>
      <c r="Q53" s="743"/>
      <c r="R53" s="743"/>
    </row>
    <row r="54" spans="2:18" ht="18" customHeight="1">
      <c r="B54" s="769" t="s">
        <v>557</v>
      </c>
      <c r="C54" s="735"/>
      <c r="D54" s="735"/>
      <c r="E54" s="735"/>
      <c r="F54" s="735"/>
      <c r="G54" s="735"/>
      <c r="H54" s="735"/>
      <c r="I54" s="735"/>
      <c r="J54" s="735"/>
      <c r="K54" s="735">
        <v>0</v>
      </c>
      <c r="L54" s="735">
        <v>0</v>
      </c>
      <c r="M54" s="735">
        <v>0</v>
      </c>
      <c r="N54" s="735">
        <v>0</v>
      </c>
      <c r="O54" s="735">
        <v>0</v>
      </c>
      <c r="P54" s="735">
        <v>-270000</v>
      </c>
      <c r="Q54" s="735">
        <v>-238000</v>
      </c>
      <c r="R54" s="735">
        <v>0</v>
      </c>
    </row>
    <row r="55" spans="2:18" ht="18" customHeight="1">
      <c r="B55" s="769" t="s">
        <v>251</v>
      </c>
      <c r="C55" s="735"/>
      <c r="D55" s="735"/>
      <c r="E55" s="735"/>
      <c r="F55" s="735"/>
      <c r="G55" s="735"/>
      <c r="H55" s="735"/>
      <c r="I55" s="735"/>
      <c r="J55" s="735"/>
      <c r="K55" s="735">
        <v>0</v>
      </c>
      <c r="L55" s="735">
        <v>0</v>
      </c>
      <c r="M55" s="735">
        <v>0</v>
      </c>
      <c r="N55" s="735">
        <v>0</v>
      </c>
      <c r="O55" s="735">
        <v>0</v>
      </c>
      <c r="P55" s="735">
        <v>0</v>
      </c>
      <c r="Q55" s="735">
        <v>0</v>
      </c>
      <c r="R55" s="735">
        <v>0</v>
      </c>
    </row>
    <row r="56" spans="2:18" ht="18" customHeight="1">
      <c r="B56" s="769" t="s">
        <v>225</v>
      </c>
      <c r="C56" s="735"/>
      <c r="D56" s="735"/>
      <c r="E56" s="738"/>
      <c r="F56" s="738"/>
      <c r="G56" s="738"/>
      <c r="H56" s="738"/>
      <c r="I56" s="738"/>
      <c r="J56" s="738"/>
      <c r="K56" s="738">
        <v>0</v>
      </c>
      <c r="L56" s="738">
        <v>0</v>
      </c>
      <c r="M56" s="738">
        <v>0</v>
      </c>
      <c r="N56" s="738">
        <v>0</v>
      </c>
      <c r="O56" s="738">
        <v>0</v>
      </c>
      <c r="P56" s="738">
        <v>0</v>
      </c>
      <c r="Q56" s="738">
        <v>0</v>
      </c>
      <c r="R56" s="738">
        <v>0</v>
      </c>
    </row>
    <row r="57" spans="2:18" ht="18" customHeight="1">
      <c r="B57" s="776" t="s">
        <v>559</v>
      </c>
      <c r="C57" s="737"/>
      <c r="D57" s="737"/>
      <c r="E57" s="737"/>
      <c r="F57" s="736"/>
      <c r="G57" s="736"/>
      <c r="H57" s="736"/>
      <c r="I57" s="736"/>
      <c r="J57" s="736"/>
      <c r="K57" s="736">
        <f>SUM(K54:K56)</f>
        <v>0</v>
      </c>
      <c r="L57" s="736">
        <f aca="true" t="shared" si="6" ref="L57:Q57">SUM(L54:L56)</f>
        <v>0</v>
      </c>
      <c r="M57" s="736">
        <f t="shared" si="6"/>
        <v>0</v>
      </c>
      <c r="N57" s="736">
        <f t="shared" si="6"/>
        <v>0</v>
      </c>
      <c r="O57" s="736">
        <f t="shared" si="6"/>
        <v>0</v>
      </c>
      <c r="P57" s="736">
        <f t="shared" si="6"/>
        <v>-270000</v>
      </c>
      <c r="Q57" s="736">
        <f t="shared" si="6"/>
        <v>-238000</v>
      </c>
      <c r="R57" s="736">
        <f>SUM(R54:R56)</f>
        <v>0</v>
      </c>
    </row>
    <row r="58" spans="2:18" ht="12" customHeight="1">
      <c r="B58" s="767"/>
      <c r="C58" s="740"/>
      <c r="D58" s="740"/>
      <c r="E58" s="740"/>
      <c r="F58" s="740"/>
      <c r="G58" s="740"/>
      <c r="H58" s="740"/>
      <c r="I58" s="740"/>
      <c r="J58" s="740"/>
      <c r="K58" s="742"/>
      <c r="L58" s="743"/>
      <c r="M58" s="743"/>
      <c r="N58" s="743"/>
      <c r="O58" s="743"/>
      <c r="P58" s="743"/>
      <c r="Q58" s="743"/>
      <c r="R58" s="743"/>
    </row>
    <row r="59" spans="2:18" ht="18" customHeight="1">
      <c r="B59" s="765" t="s">
        <v>556</v>
      </c>
      <c r="C59" s="735"/>
      <c r="D59" s="735"/>
      <c r="E59" s="735"/>
      <c r="F59" s="753"/>
      <c r="G59" s="753"/>
      <c r="H59" s="753"/>
      <c r="I59" s="753"/>
      <c r="J59" s="753"/>
      <c r="K59" s="753">
        <f aca="true" t="shared" si="7" ref="K59:R59">J59+K57</f>
        <v>0</v>
      </c>
      <c r="L59" s="753">
        <f t="shared" si="7"/>
        <v>0</v>
      </c>
      <c r="M59" s="753">
        <f t="shared" si="7"/>
        <v>0</v>
      </c>
      <c r="N59" s="753">
        <f t="shared" si="7"/>
        <v>0</v>
      </c>
      <c r="O59" s="753">
        <f t="shared" si="7"/>
        <v>0</v>
      </c>
      <c r="P59" s="736">
        <f t="shared" si="7"/>
        <v>-270000</v>
      </c>
      <c r="Q59" s="736">
        <f t="shared" si="7"/>
        <v>-508000</v>
      </c>
      <c r="R59" s="736">
        <f t="shared" si="7"/>
        <v>-508000</v>
      </c>
    </row>
    <row r="60" spans="2:18" ht="18" customHeight="1">
      <c r="B60" s="771"/>
      <c r="C60" s="741"/>
      <c r="D60" s="741"/>
      <c r="E60" s="741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734"/>
      <c r="Q60" s="734"/>
      <c r="R60" s="734"/>
    </row>
    <row r="61" spans="2:18" ht="18" customHeight="1">
      <c r="B61" s="806" t="s">
        <v>697</v>
      </c>
      <c r="C61" s="735"/>
      <c r="D61" s="735"/>
      <c r="E61" s="735"/>
      <c r="F61" s="735"/>
      <c r="G61" s="735"/>
      <c r="H61" s="748"/>
      <c r="I61" s="735"/>
      <c r="J61" s="735"/>
      <c r="K61" s="735"/>
      <c r="L61" s="735"/>
      <c r="M61" s="749"/>
      <c r="N61" s="749"/>
      <c r="O61" s="749"/>
      <c r="P61" s="749"/>
      <c r="Q61" s="749"/>
      <c r="R61" s="749"/>
    </row>
    <row r="62" spans="2:18" ht="18" customHeight="1">
      <c r="B62" s="765" t="s">
        <v>253</v>
      </c>
      <c r="C62" s="735"/>
      <c r="D62" s="735"/>
      <c r="E62" s="735"/>
      <c r="F62" s="735"/>
      <c r="G62" s="735"/>
      <c r="H62" s="735"/>
      <c r="I62" s="735"/>
      <c r="J62" s="735"/>
      <c r="K62" s="735">
        <v>0</v>
      </c>
      <c r="L62" s="735">
        <v>0</v>
      </c>
      <c r="M62" s="735">
        <v>0</v>
      </c>
      <c r="N62" s="735">
        <v>0</v>
      </c>
      <c r="O62" s="735">
        <v>0</v>
      </c>
      <c r="P62" s="735">
        <v>0</v>
      </c>
      <c r="Q62" s="735">
        <v>0</v>
      </c>
      <c r="R62" s="735">
        <v>0</v>
      </c>
    </row>
    <row r="63" spans="2:18" ht="18" customHeight="1">
      <c r="B63" s="766" t="s">
        <v>252</v>
      </c>
      <c r="C63" s="737"/>
      <c r="D63" s="737"/>
      <c r="E63" s="737"/>
      <c r="F63" s="754"/>
      <c r="G63" s="754"/>
      <c r="H63" s="754"/>
      <c r="I63" s="754"/>
      <c r="J63" s="754"/>
      <c r="K63" s="754">
        <f>($D62+SUM($F62:K62))</f>
        <v>0</v>
      </c>
      <c r="L63" s="754">
        <f>($D62+SUM($F62:L62))</f>
        <v>0</v>
      </c>
      <c r="M63" s="754">
        <f>($D62+SUM($F62:M62))</f>
        <v>0</v>
      </c>
      <c r="N63" s="754">
        <f>($D62+SUM($F62:N62))</f>
        <v>0</v>
      </c>
      <c r="O63" s="754">
        <f>($D62+SUM($F62:O62))</f>
        <v>0</v>
      </c>
      <c r="P63" s="754">
        <f>($D62+SUM($F62:P62))</f>
        <v>0</v>
      </c>
      <c r="Q63" s="754">
        <f>($D62+SUM($F62:Q62))</f>
        <v>0</v>
      </c>
      <c r="R63" s="754">
        <f>($D62+SUM($F62:R62))</f>
        <v>0</v>
      </c>
    </row>
    <row r="64" spans="2:18" ht="12" customHeight="1">
      <c r="B64" s="767"/>
      <c r="C64" s="740"/>
      <c r="D64" s="740"/>
      <c r="E64" s="740"/>
      <c r="F64" s="740"/>
      <c r="G64" s="740"/>
      <c r="H64" s="740"/>
      <c r="I64" s="740"/>
      <c r="J64" s="740"/>
      <c r="K64" s="742"/>
      <c r="L64" s="743"/>
      <c r="M64" s="743"/>
      <c r="N64" s="743"/>
      <c r="O64" s="743"/>
      <c r="P64" s="743"/>
      <c r="Q64" s="743"/>
      <c r="R64" s="743"/>
    </row>
    <row r="65" spans="2:18" ht="18" customHeight="1">
      <c r="B65" s="769" t="s">
        <v>557</v>
      </c>
      <c r="C65" s="735"/>
      <c r="D65" s="735"/>
      <c r="E65" s="735"/>
      <c r="F65" s="735"/>
      <c r="G65" s="735"/>
      <c r="H65" s="735"/>
      <c r="I65" s="735"/>
      <c r="J65" s="735"/>
      <c r="K65" s="735">
        <v>0</v>
      </c>
      <c r="L65" s="735">
        <v>0</v>
      </c>
      <c r="M65" s="735">
        <v>0</v>
      </c>
      <c r="N65" s="735">
        <v>0</v>
      </c>
      <c r="O65" s="735">
        <v>0</v>
      </c>
      <c r="P65" s="735">
        <v>-1042000</v>
      </c>
      <c r="Q65" s="735">
        <v>-405000</v>
      </c>
      <c r="R65" s="735">
        <v>0</v>
      </c>
    </row>
    <row r="66" spans="2:18" ht="18" customHeight="1">
      <c r="B66" s="769" t="s">
        <v>251</v>
      </c>
      <c r="C66" s="735"/>
      <c r="D66" s="735"/>
      <c r="E66" s="735"/>
      <c r="F66" s="735"/>
      <c r="G66" s="735"/>
      <c r="H66" s="735"/>
      <c r="I66" s="735"/>
      <c r="J66" s="735"/>
      <c r="K66" s="735">
        <v>0</v>
      </c>
      <c r="L66" s="735">
        <v>0</v>
      </c>
      <c r="M66" s="735">
        <v>0</v>
      </c>
      <c r="N66" s="735">
        <v>0</v>
      </c>
      <c r="O66" s="735">
        <v>0</v>
      </c>
      <c r="P66" s="735">
        <v>0</v>
      </c>
      <c r="Q66" s="735">
        <v>0</v>
      </c>
      <c r="R66" s="735">
        <v>0</v>
      </c>
    </row>
    <row r="67" spans="2:18" ht="18" customHeight="1">
      <c r="B67" s="769" t="s">
        <v>225</v>
      </c>
      <c r="C67" s="735"/>
      <c r="D67" s="735"/>
      <c r="E67" s="738"/>
      <c r="F67" s="738"/>
      <c r="G67" s="738"/>
      <c r="H67" s="738"/>
      <c r="I67" s="738"/>
      <c r="J67" s="738"/>
      <c r="K67" s="738">
        <v>0</v>
      </c>
      <c r="L67" s="738">
        <v>0</v>
      </c>
      <c r="M67" s="738">
        <v>0</v>
      </c>
      <c r="N67" s="738">
        <v>0</v>
      </c>
      <c r="O67" s="738">
        <v>0</v>
      </c>
      <c r="P67" s="738">
        <v>0</v>
      </c>
      <c r="Q67" s="738">
        <v>0</v>
      </c>
      <c r="R67" s="738">
        <v>0</v>
      </c>
    </row>
    <row r="68" spans="2:18" ht="18" customHeight="1">
      <c r="B68" s="776" t="s">
        <v>559</v>
      </c>
      <c r="C68" s="737"/>
      <c r="D68" s="737"/>
      <c r="E68" s="737"/>
      <c r="F68" s="736"/>
      <c r="G68" s="736"/>
      <c r="H68" s="736"/>
      <c r="I68" s="736"/>
      <c r="J68" s="736"/>
      <c r="K68" s="736">
        <f>SUM(K65:K67)</f>
        <v>0</v>
      </c>
      <c r="L68" s="736">
        <f aca="true" t="shared" si="8" ref="L68:Q68">SUM(L65:L67)</f>
        <v>0</v>
      </c>
      <c r="M68" s="736">
        <f t="shared" si="8"/>
        <v>0</v>
      </c>
      <c r="N68" s="736">
        <f t="shared" si="8"/>
        <v>0</v>
      </c>
      <c r="O68" s="736">
        <f t="shared" si="8"/>
        <v>0</v>
      </c>
      <c r="P68" s="736">
        <f t="shared" si="8"/>
        <v>-1042000</v>
      </c>
      <c r="Q68" s="736">
        <f t="shared" si="8"/>
        <v>-405000</v>
      </c>
      <c r="R68" s="736">
        <f>SUM(R65:R67)</f>
        <v>0</v>
      </c>
    </row>
    <row r="69" spans="2:18" ht="12" customHeight="1">
      <c r="B69" s="767"/>
      <c r="C69" s="740"/>
      <c r="D69" s="740"/>
      <c r="E69" s="740"/>
      <c r="F69" s="740"/>
      <c r="G69" s="740"/>
      <c r="H69" s="740"/>
      <c r="I69" s="740"/>
      <c r="J69" s="740"/>
      <c r="K69" s="742"/>
      <c r="L69" s="743"/>
      <c r="M69" s="743"/>
      <c r="N69" s="743"/>
      <c r="O69" s="743"/>
      <c r="P69" s="743"/>
      <c r="Q69" s="743"/>
      <c r="R69" s="743"/>
    </row>
    <row r="70" spans="2:18" ht="18" customHeight="1">
      <c r="B70" s="765" t="s">
        <v>556</v>
      </c>
      <c r="C70" s="735"/>
      <c r="D70" s="735"/>
      <c r="E70" s="735"/>
      <c r="F70" s="753"/>
      <c r="G70" s="753"/>
      <c r="H70" s="753"/>
      <c r="I70" s="753"/>
      <c r="J70" s="753"/>
      <c r="K70" s="753">
        <f aca="true" t="shared" si="9" ref="K70:Q70">J70+K68</f>
        <v>0</v>
      </c>
      <c r="L70" s="753">
        <f t="shared" si="9"/>
        <v>0</v>
      </c>
      <c r="M70" s="753">
        <f t="shared" si="9"/>
        <v>0</v>
      </c>
      <c r="N70" s="753">
        <f t="shared" si="9"/>
        <v>0</v>
      </c>
      <c r="O70" s="753">
        <f t="shared" si="9"/>
        <v>0</v>
      </c>
      <c r="P70" s="736">
        <f t="shared" si="9"/>
        <v>-1042000</v>
      </c>
      <c r="Q70" s="736">
        <f t="shared" si="9"/>
        <v>-1447000</v>
      </c>
      <c r="R70" s="736">
        <f>Q70+R68</f>
        <v>-1447000</v>
      </c>
    </row>
    <row r="71" spans="2:18" ht="18" customHeight="1">
      <c r="B71" s="1112"/>
      <c r="C71" s="1113"/>
      <c r="D71" s="1113"/>
      <c r="E71" s="1113"/>
      <c r="F71" s="1114"/>
      <c r="G71" s="1114"/>
      <c r="H71" s="1114"/>
      <c r="I71" s="1114"/>
      <c r="J71" s="1114"/>
      <c r="K71" s="1114"/>
      <c r="L71" s="1114"/>
      <c r="M71" s="1114"/>
      <c r="N71" s="1114"/>
      <c r="O71" s="1114"/>
      <c r="P71" s="1115"/>
      <c r="Q71" s="1115"/>
      <c r="R71" s="1115"/>
    </row>
    <row r="72" spans="2:18" ht="18" customHeight="1">
      <c r="B72" s="806" t="str">
        <f>Riepilogo!D26</f>
        <v>M31 Italia S.r.l.</v>
      </c>
      <c r="C72" s="735"/>
      <c r="D72" s="735"/>
      <c r="E72" s="735"/>
      <c r="F72" s="735"/>
      <c r="G72" s="735"/>
      <c r="H72" s="748"/>
      <c r="I72" s="735"/>
      <c r="J72" s="735"/>
      <c r="K72" s="735"/>
      <c r="L72" s="735"/>
      <c r="M72" s="749"/>
      <c r="N72" s="749"/>
      <c r="O72" s="749"/>
      <c r="P72" s="749"/>
      <c r="Q72" s="749"/>
      <c r="R72" s="749"/>
    </row>
    <row r="73" spans="2:18" ht="18" customHeight="1">
      <c r="B73" s="765" t="s">
        <v>253</v>
      </c>
      <c r="C73" s="735"/>
      <c r="D73" s="735"/>
      <c r="E73" s="735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36"/>
      <c r="Q73" s="735">
        <v>0</v>
      </c>
      <c r="R73" s="735">
        <v>0</v>
      </c>
    </row>
    <row r="74" spans="2:18" ht="18" customHeight="1">
      <c r="B74" s="766" t="s">
        <v>252</v>
      </c>
      <c r="C74" s="735"/>
      <c r="D74" s="735"/>
      <c r="E74" s="735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36"/>
      <c r="Q74" s="754">
        <f>($D73+SUM($F73:Q73))</f>
        <v>0</v>
      </c>
      <c r="R74" s="754">
        <f>($D73+SUM($F73:R73))</f>
        <v>0</v>
      </c>
    </row>
    <row r="75" spans="2:18" ht="18" customHeight="1">
      <c r="B75" s="767"/>
      <c r="C75" s="735"/>
      <c r="D75" s="735"/>
      <c r="E75" s="735"/>
      <c r="F75" s="753"/>
      <c r="G75" s="753"/>
      <c r="H75" s="753"/>
      <c r="I75" s="753"/>
      <c r="J75" s="753"/>
      <c r="K75" s="767"/>
      <c r="L75" s="767"/>
      <c r="M75" s="767"/>
      <c r="N75" s="767"/>
      <c r="O75" s="767"/>
      <c r="P75" s="767"/>
      <c r="Q75" s="743"/>
      <c r="R75" s="743"/>
    </row>
    <row r="76" spans="2:18" ht="18" customHeight="1">
      <c r="B76" s="769" t="s">
        <v>557</v>
      </c>
      <c r="C76" s="735"/>
      <c r="D76" s="735"/>
      <c r="E76" s="735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36"/>
      <c r="Q76" s="735">
        <v>0</v>
      </c>
      <c r="R76" s="735">
        <v>248250.48</v>
      </c>
    </row>
    <row r="77" spans="2:18" ht="18" customHeight="1">
      <c r="B77" s="769" t="s">
        <v>251</v>
      </c>
      <c r="C77" s="735"/>
      <c r="D77" s="735"/>
      <c r="E77" s="735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36"/>
      <c r="Q77" s="735">
        <v>0</v>
      </c>
      <c r="R77" s="735">
        <v>0</v>
      </c>
    </row>
    <row r="78" spans="2:18" ht="18" customHeight="1">
      <c r="B78" s="769" t="s">
        <v>225</v>
      </c>
      <c r="C78" s="735"/>
      <c r="D78" s="735"/>
      <c r="E78" s="735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36"/>
      <c r="Q78" s="738">
        <v>0</v>
      </c>
      <c r="R78" s="738">
        <v>0</v>
      </c>
    </row>
    <row r="79" spans="2:18" ht="18" customHeight="1">
      <c r="B79" s="776" t="s">
        <v>559</v>
      </c>
      <c r="C79" s="735"/>
      <c r="D79" s="735"/>
      <c r="E79" s="735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36"/>
      <c r="Q79" s="736">
        <f>SUM(Q76:Q78)</f>
        <v>0</v>
      </c>
      <c r="R79" s="736">
        <f>SUM(R76:R78)</f>
        <v>248250.48</v>
      </c>
    </row>
    <row r="80" spans="2:18" ht="18" customHeight="1">
      <c r="B80" s="767"/>
      <c r="C80" s="735"/>
      <c r="D80" s="735"/>
      <c r="E80" s="735"/>
      <c r="F80" s="753"/>
      <c r="G80" s="753"/>
      <c r="H80" s="753"/>
      <c r="I80" s="753"/>
      <c r="J80" s="753"/>
      <c r="K80" s="767"/>
      <c r="L80" s="767"/>
      <c r="M80" s="767"/>
      <c r="N80" s="767"/>
      <c r="O80" s="767"/>
      <c r="P80" s="767"/>
      <c r="Q80" s="767"/>
      <c r="R80" s="767"/>
    </row>
    <row r="81" spans="2:18" ht="18" customHeight="1">
      <c r="B81" s="765" t="s">
        <v>556</v>
      </c>
      <c r="C81" s="735"/>
      <c r="D81" s="735"/>
      <c r="E81" s="735"/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36"/>
      <c r="Q81" s="736">
        <f>P81+Q79</f>
        <v>0</v>
      </c>
      <c r="R81" s="736">
        <f>Q81+R79</f>
        <v>248250.48</v>
      </c>
    </row>
    <row r="82" spans="2:18" ht="18" customHeight="1">
      <c r="B82" s="771"/>
      <c r="C82" s="741"/>
      <c r="D82" s="741"/>
      <c r="E82" s="741"/>
      <c r="F82" s="734"/>
      <c r="G82" s="734"/>
      <c r="H82" s="734"/>
      <c r="I82" s="734"/>
      <c r="J82" s="734"/>
      <c r="K82" s="734"/>
      <c r="L82" s="734"/>
      <c r="M82" s="734"/>
      <c r="N82" s="734"/>
      <c r="O82" s="734"/>
      <c r="P82" s="734"/>
      <c r="Q82" s="734"/>
      <c r="R82" s="734"/>
    </row>
    <row r="83" spans="2:18" ht="18" customHeight="1">
      <c r="B83" s="764" t="str">
        <f>Riepilogo!D46</f>
        <v>Walking Pipe S.p.A. in liquidazione</v>
      </c>
      <c r="C83" s="735"/>
      <c r="D83" s="735"/>
      <c r="E83" s="735"/>
      <c r="F83" s="735"/>
      <c r="G83" s="735"/>
      <c r="H83" s="748"/>
      <c r="I83" s="735"/>
      <c r="J83" s="735"/>
      <c r="K83" s="735"/>
      <c r="L83" s="735"/>
      <c r="M83" s="749"/>
      <c r="N83" s="749"/>
      <c r="O83" s="749"/>
      <c r="P83" s="749"/>
      <c r="Q83" s="749"/>
      <c r="R83" s="749"/>
    </row>
    <row r="84" spans="2:18" ht="18" customHeight="1">
      <c r="B84" s="765" t="s">
        <v>253</v>
      </c>
      <c r="C84" s="735"/>
      <c r="D84" s="735"/>
      <c r="E84" s="735"/>
      <c r="F84" s="735"/>
      <c r="G84" s="735"/>
      <c r="H84" s="735"/>
      <c r="I84" s="735"/>
      <c r="J84" s="735"/>
      <c r="K84" s="735">
        <v>0</v>
      </c>
      <c r="L84" s="735">
        <v>0</v>
      </c>
      <c r="M84" s="735">
        <v>0</v>
      </c>
      <c r="N84" s="735">
        <v>0</v>
      </c>
      <c r="O84" s="735">
        <v>0</v>
      </c>
      <c r="P84" s="735">
        <v>0</v>
      </c>
      <c r="Q84" s="735">
        <v>0</v>
      </c>
      <c r="R84" s="735">
        <v>0</v>
      </c>
    </row>
    <row r="85" spans="2:18" ht="18" customHeight="1">
      <c r="B85" s="766" t="s">
        <v>252</v>
      </c>
      <c r="C85" s="737"/>
      <c r="D85" s="737"/>
      <c r="E85" s="737"/>
      <c r="F85" s="754"/>
      <c r="G85" s="754"/>
      <c r="H85" s="754"/>
      <c r="I85" s="754"/>
      <c r="J85" s="754"/>
      <c r="K85" s="754">
        <f>($D84+SUM($F84:K84))</f>
        <v>0</v>
      </c>
      <c r="L85" s="754">
        <f>($D84+SUM($F84:L84))</f>
        <v>0</v>
      </c>
      <c r="M85" s="754">
        <f>($D84+SUM($F84:M84))</f>
        <v>0</v>
      </c>
      <c r="N85" s="754">
        <f>($D84+SUM($F84:N84))</f>
        <v>0</v>
      </c>
      <c r="O85" s="754">
        <f>($D84+SUM($F84:O84))</f>
        <v>0</v>
      </c>
      <c r="P85" s="754">
        <f>($D84+SUM($F84:P84))</f>
        <v>0</v>
      </c>
      <c r="Q85" s="754">
        <f>($D84+SUM($F84:Q84))</f>
        <v>0</v>
      </c>
      <c r="R85" s="754">
        <f>($D84+SUM($F84:R84))</f>
        <v>0</v>
      </c>
    </row>
    <row r="86" spans="2:18" ht="12" customHeight="1">
      <c r="B86" s="767"/>
      <c r="C86" s="740"/>
      <c r="D86" s="740"/>
      <c r="E86" s="740"/>
      <c r="F86" s="740"/>
      <c r="G86" s="740"/>
      <c r="H86" s="740"/>
      <c r="I86" s="740"/>
      <c r="J86" s="740"/>
      <c r="K86" s="742"/>
      <c r="L86" s="743"/>
      <c r="M86" s="743"/>
      <c r="N86" s="743"/>
      <c r="O86" s="743"/>
      <c r="P86" s="743"/>
      <c r="Q86" s="743"/>
      <c r="R86" s="743"/>
    </row>
    <row r="87" spans="2:18" ht="18" customHeight="1">
      <c r="B87" s="769" t="s">
        <v>557</v>
      </c>
      <c r="C87" s="735"/>
      <c r="D87" s="735"/>
      <c r="E87" s="735"/>
      <c r="F87" s="735"/>
      <c r="G87" s="735"/>
      <c r="H87" s="735"/>
      <c r="I87" s="735"/>
      <c r="J87" s="735"/>
      <c r="K87" s="735">
        <v>0</v>
      </c>
      <c r="L87" s="735">
        <v>0</v>
      </c>
      <c r="M87" s="735">
        <v>0</v>
      </c>
      <c r="N87" s="735">
        <v>0</v>
      </c>
      <c r="O87" s="735">
        <v>0</v>
      </c>
      <c r="P87" s="735">
        <v>-310000</v>
      </c>
      <c r="Q87" s="735">
        <v>-489999</v>
      </c>
      <c r="R87" s="735">
        <v>0</v>
      </c>
    </row>
    <row r="88" spans="2:18" ht="18" customHeight="1">
      <c r="B88" s="769" t="s">
        <v>251</v>
      </c>
      <c r="C88" s="735"/>
      <c r="D88" s="735"/>
      <c r="E88" s="735"/>
      <c r="F88" s="735"/>
      <c r="G88" s="735"/>
      <c r="H88" s="735"/>
      <c r="I88" s="735"/>
      <c r="J88" s="735"/>
      <c r="K88" s="735">
        <v>0</v>
      </c>
      <c r="L88" s="735">
        <v>0</v>
      </c>
      <c r="M88" s="735">
        <v>0</v>
      </c>
      <c r="N88" s="735">
        <v>0</v>
      </c>
      <c r="O88" s="735">
        <v>0</v>
      </c>
      <c r="P88" s="735">
        <v>0</v>
      </c>
      <c r="Q88" s="735">
        <v>0</v>
      </c>
      <c r="R88" s="735">
        <v>0</v>
      </c>
    </row>
    <row r="89" spans="2:18" ht="18" customHeight="1">
      <c r="B89" s="769" t="s">
        <v>225</v>
      </c>
      <c r="C89" s="735"/>
      <c r="D89" s="735"/>
      <c r="E89" s="738"/>
      <c r="F89" s="738"/>
      <c r="G89" s="738"/>
      <c r="H89" s="738"/>
      <c r="I89" s="738"/>
      <c r="J89" s="738"/>
      <c r="K89" s="738">
        <v>0</v>
      </c>
      <c r="L89" s="738">
        <v>0</v>
      </c>
      <c r="M89" s="738">
        <v>0</v>
      </c>
      <c r="N89" s="738">
        <v>0</v>
      </c>
      <c r="O89" s="738">
        <v>0</v>
      </c>
      <c r="P89" s="738">
        <v>0</v>
      </c>
      <c r="Q89" s="738">
        <v>0</v>
      </c>
      <c r="R89" s="738">
        <v>0</v>
      </c>
    </row>
    <row r="90" spans="2:18" ht="18" customHeight="1">
      <c r="B90" s="776" t="s">
        <v>559</v>
      </c>
      <c r="C90" s="737"/>
      <c r="D90" s="737"/>
      <c r="E90" s="737"/>
      <c r="F90" s="736"/>
      <c r="G90" s="736"/>
      <c r="H90" s="736"/>
      <c r="I90" s="736"/>
      <c r="J90" s="736"/>
      <c r="K90" s="736">
        <f>SUM(K87:K89)</f>
        <v>0</v>
      </c>
      <c r="L90" s="736">
        <f aca="true" t="shared" si="10" ref="L90:Q90">SUM(L87:L89)</f>
        <v>0</v>
      </c>
      <c r="M90" s="736">
        <f t="shared" si="10"/>
        <v>0</v>
      </c>
      <c r="N90" s="736">
        <f t="shared" si="10"/>
        <v>0</v>
      </c>
      <c r="O90" s="736">
        <f t="shared" si="10"/>
        <v>0</v>
      </c>
      <c r="P90" s="736">
        <f t="shared" si="10"/>
        <v>-310000</v>
      </c>
      <c r="Q90" s="736">
        <f t="shared" si="10"/>
        <v>-489999</v>
      </c>
      <c r="R90" s="736">
        <f>SUM(R87:R89)</f>
        <v>0</v>
      </c>
    </row>
    <row r="91" spans="2:18" ht="12" customHeight="1">
      <c r="B91" s="767"/>
      <c r="C91" s="740"/>
      <c r="D91" s="740"/>
      <c r="E91" s="740"/>
      <c r="F91" s="740"/>
      <c r="G91" s="740"/>
      <c r="H91" s="740"/>
      <c r="I91" s="740"/>
      <c r="J91" s="740"/>
      <c r="K91" s="742"/>
      <c r="L91" s="743"/>
      <c r="M91" s="743"/>
      <c r="N91" s="743"/>
      <c r="O91" s="743"/>
      <c r="P91" s="743"/>
      <c r="Q91" s="743"/>
      <c r="R91" s="743"/>
    </row>
    <row r="92" spans="2:18" ht="18" customHeight="1">
      <c r="B92" s="765" t="s">
        <v>556</v>
      </c>
      <c r="C92" s="735"/>
      <c r="D92" s="735"/>
      <c r="E92" s="735"/>
      <c r="F92" s="753"/>
      <c r="G92" s="753"/>
      <c r="H92" s="753"/>
      <c r="I92" s="753"/>
      <c r="J92" s="753"/>
      <c r="K92" s="753">
        <f aca="true" t="shared" si="11" ref="K92:R92">J92+K90</f>
        <v>0</v>
      </c>
      <c r="L92" s="753">
        <f t="shared" si="11"/>
        <v>0</v>
      </c>
      <c r="M92" s="753">
        <f t="shared" si="11"/>
        <v>0</v>
      </c>
      <c r="N92" s="753">
        <f t="shared" si="11"/>
        <v>0</v>
      </c>
      <c r="O92" s="753">
        <f t="shared" si="11"/>
        <v>0</v>
      </c>
      <c r="P92" s="736">
        <f t="shared" si="11"/>
        <v>-310000</v>
      </c>
      <c r="Q92" s="736">
        <f t="shared" si="11"/>
        <v>-799999</v>
      </c>
      <c r="R92" s="736">
        <f t="shared" si="11"/>
        <v>-799999</v>
      </c>
    </row>
    <row r="93" spans="2:18" ht="18" customHeight="1">
      <c r="B93" s="771"/>
      <c r="C93" s="741"/>
      <c r="D93" s="741"/>
      <c r="E93" s="741"/>
      <c r="F93" s="734"/>
      <c r="G93" s="734"/>
      <c r="H93" s="734"/>
      <c r="I93" s="734"/>
      <c r="J93" s="734"/>
      <c r="K93" s="734"/>
      <c r="L93" s="734"/>
      <c r="M93" s="734"/>
      <c r="N93" s="734"/>
      <c r="O93" s="734"/>
      <c r="P93" s="734"/>
      <c r="Q93" s="734"/>
      <c r="R93" s="734"/>
    </row>
    <row r="94" spans="2:18" ht="18" customHeight="1">
      <c r="B94" s="764" t="str">
        <f>Riepilogo!D28</f>
        <v>Xeptagen S.p.A.</v>
      </c>
      <c r="C94" s="735"/>
      <c r="D94" s="735"/>
      <c r="E94" s="735"/>
      <c r="F94" s="735"/>
      <c r="G94" s="735"/>
      <c r="H94" s="748"/>
      <c r="I94" s="735"/>
      <c r="J94" s="735"/>
      <c r="K94" s="735"/>
      <c r="L94" s="735"/>
      <c r="M94" s="749"/>
      <c r="N94" s="749"/>
      <c r="O94" s="749"/>
      <c r="P94" s="749"/>
      <c r="Q94" s="749"/>
      <c r="R94" s="749"/>
    </row>
    <row r="95" spans="2:18" ht="18" customHeight="1">
      <c r="B95" s="765" t="s">
        <v>253</v>
      </c>
      <c r="C95" s="735"/>
      <c r="D95" s="735"/>
      <c r="E95" s="735"/>
      <c r="F95" s="735"/>
      <c r="G95" s="735"/>
      <c r="H95" s="735"/>
      <c r="I95" s="735"/>
      <c r="J95" s="735"/>
      <c r="K95" s="735">
        <v>0</v>
      </c>
      <c r="L95" s="735">
        <v>0</v>
      </c>
      <c r="M95" s="735">
        <v>0</v>
      </c>
      <c r="N95" s="735">
        <v>0</v>
      </c>
      <c r="O95" s="735">
        <v>0</v>
      </c>
      <c r="P95" s="735">
        <v>0</v>
      </c>
      <c r="Q95" s="735">
        <v>0</v>
      </c>
      <c r="R95" s="735">
        <v>0</v>
      </c>
    </row>
    <row r="96" spans="2:18" ht="18" customHeight="1">
      <c r="B96" s="766" t="s">
        <v>252</v>
      </c>
      <c r="C96" s="737"/>
      <c r="D96" s="737"/>
      <c r="E96" s="737"/>
      <c r="F96" s="754"/>
      <c r="G96" s="754"/>
      <c r="H96" s="754"/>
      <c r="I96" s="754"/>
      <c r="J96" s="754"/>
      <c r="K96" s="754">
        <f>($D95+SUM($F95:K95))</f>
        <v>0</v>
      </c>
      <c r="L96" s="754">
        <f>($D95+SUM($F95:L95))</f>
        <v>0</v>
      </c>
      <c r="M96" s="754">
        <f>($D95+SUM($F95:M95))</f>
        <v>0</v>
      </c>
      <c r="N96" s="754">
        <f>($D95+SUM($F95:N95))</f>
        <v>0</v>
      </c>
      <c r="O96" s="754">
        <f>($D95+SUM($F95:O95))</f>
        <v>0</v>
      </c>
      <c r="P96" s="754">
        <f>($D95+SUM($F95:P95))</f>
        <v>0</v>
      </c>
      <c r="Q96" s="754">
        <f>($D95+SUM($F95:Q95))</f>
        <v>0</v>
      </c>
      <c r="R96" s="754">
        <f>($D95+SUM($F95:R95))</f>
        <v>0</v>
      </c>
    </row>
    <row r="97" spans="2:18" ht="12" customHeight="1">
      <c r="B97" s="767"/>
      <c r="C97" s="740"/>
      <c r="D97" s="740"/>
      <c r="E97" s="740"/>
      <c r="F97" s="740"/>
      <c r="G97" s="740"/>
      <c r="H97" s="740"/>
      <c r="I97" s="740"/>
      <c r="J97" s="740"/>
      <c r="K97" s="742"/>
      <c r="L97" s="743"/>
      <c r="M97" s="743"/>
      <c r="N97" s="743"/>
      <c r="O97" s="743"/>
      <c r="P97" s="743"/>
      <c r="Q97" s="743"/>
      <c r="R97" s="743"/>
    </row>
    <row r="98" spans="2:18" ht="18" customHeight="1">
      <c r="B98" s="769" t="s">
        <v>557</v>
      </c>
      <c r="C98" s="735"/>
      <c r="D98" s="735"/>
      <c r="E98" s="735"/>
      <c r="F98" s="735"/>
      <c r="G98" s="735"/>
      <c r="H98" s="735"/>
      <c r="I98" s="735"/>
      <c r="J98" s="735"/>
      <c r="K98" s="735">
        <v>0</v>
      </c>
      <c r="L98" s="735">
        <v>0</v>
      </c>
      <c r="M98" s="735">
        <v>0</v>
      </c>
      <c r="N98" s="735">
        <v>0</v>
      </c>
      <c r="O98" s="735">
        <v>0</v>
      </c>
      <c r="P98" s="735">
        <v>-380000</v>
      </c>
      <c r="Q98" s="735">
        <v>-263000</v>
      </c>
      <c r="R98" s="735">
        <v>0</v>
      </c>
    </row>
    <row r="99" spans="2:18" ht="18" customHeight="1">
      <c r="B99" s="769" t="s">
        <v>251</v>
      </c>
      <c r="C99" s="735"/>
      <c r="D99" s="735"/>
      <c r="E99" s="735"/>
      <c r="F99" s="735"/>
      <c r="G99" s="735"/>
      <c r="H99" s="735"/>
      <c r="I99" s="735"/>
      <c r="J99" s="735"/>
      <c r="K99" s="735">
        <v>0</v>
      </c>
      <c r="L99" s="735">
        <v>0</v>
      </c>
      <c r="M99" s="735">
        <v>0</v>
      </c>
      <c r="N99" s="735">
        <v>0</v>
      </c>
      <c r="O99" s="735">
        <v>0</v>
      </c>
      <c r="P99" s="735">
        <v>0</v>
      </c>
      <c r="Q99" s="735">
        <v>0</v>
      </c>
      <c r="R99" s="735">
        <v>0</v>
      </c>
    </row>
    <row r="100" spans="2:18" ht="18" customHeight="1">
      <c r="B100" s="769" t="s">
        <v>225</v>
      </c>
      <c r="C100" s="735"/>
      <c r="D100" s="735"/>
      <c r="E100" s="738"/>
      <c r="F100" s="738"/>
      <c r="G100" s="738"/>
      <c r="H100" s="738"/>
      <c r="I100" s="738"/>
      <c r="J100" s="738"/>
      <c r="K100" s="738">
        <v>0</v>
      </c>
      <c r="L100" s="738">
        <v>0</v>
      </c>
      <c r="M100" s="738">
        <v>0</v>
      </c>
      <c r="N100" s="738">
        <v>0</v>
      </c>
      <c r="O100" s="738">
        <v>0</v>
      </c>
      <c r="P100" s="738">
        <v>0</v>
      </c>
      <c r="Q100" s="738">
        <v>0</v>
      </c>
      <c r="R100" s="738">
        <v>0</v>
      </c>
    </row>
    <row r="101" spans="2:18" ht="18" customHeight="1">
      <c r="B101" s="776" t="s">
        <v>559</v>
      </c>
      <c r="C101" s="737"/>
      <c r="D101" s="737"/>
      <c r="E101" s="737"/>
      <c r="F101" s="736"/>
      <c r="G101" s="736"/>
      <c r="H101" s="736"/>
      <c r="I101" s="736"/>
      <c r="J101" s="736"/>
      <c r="K101" s="736">
        <f>SUM(K98:K100)</f>
        <v>0</v>
      </c>
      <c r="L101" s="736">
        <f aca="true" t="shared" si="12" ref="L101:Q101">SUM(L98:L100)</f>
        <v>0</v>
      </c>
      <c r="M101" s="736">
        <f t="shared" si="12"/>
        <v>0</v>
      </c>
      <c r="N101" s="736">
        <f t="shared" si="12"/>
        <v>0</v>
      </c>
      <c r="O101" s="736">
        <f t="shared" si="12"/>
        <v>0</v>
      </c>
      <c r="P101" s="736">
        <f t="shared" si="12"/>
        <v>-380000</v>
      </c>
      <c r="Q101" s="736">
        <f t="shared" si="12"/>
        <v>-263000</v>
      </c>
      <c r="R101" s="736">
        <f>SUM(R98:R100)</f>
        <v>0</v>
      </c>
    </row>
    <row r="102" spans="2:18" ht="12" customHeight="1">
      <c r="B102" s="767"/>
      <c r="C102" s="740"/>
      <c r="D102" s="740"/>
      <c r="E102" s="740"/>
      <c r="F102" s="740"/>
      <c r="G102" s="740"/>
      <c r="H102" s="740"/>
      <c r="I102" s="740"/>
      <c r="J102" s="740"/>
      <c r="K102" s="742"/>
      <c r="L102" s="743"/>
      <c r="M102" s="743"/>
      <c r="N102" s="743"/>
      <c r="O102" s="743"/>
      <c r="P102" s="743"/>
      <c r="Q102" s="743"/>
      <c r="R102" s="743"/>
    </row>
    <row r="103" spans="2:18" ht="18" customHeight="1">
      <c r="B103" s="765" t="s">
        <v>556</v>
      </c>
      <c r="C103" s="735"/>
      <c r="D103" s="735"/>
      <c r="E103" s="735"/>
      <c r="F103" s="753"/>
      <c r="G103" s="753"/>
      <c r="H103" s="753"/>
      <c r="I103" s="753"/>
      <c r="J103" s="753"/>
      <c r="K103" s="753">
        <f aca="true" t="shared" si="13" ref="K103:R103">J103+K101</f>
        <v>0</v>
      </c>
      <c r="L103" s="753">
        <f t="shared" si="13"/>
        <v>0</v>
      </c>
      <c r="M103" s="753">
        <f t="shared" si="13"/>
        <v>0</v>
      </c>
      <c r="N103" s="753">
        <f t="shared" si="13"/>
        <v>0</v>
      </c>
      <c r="O103" s="753">
        <f t="shared" si="13"/>
        <v>0</v>
      </c>
      <c r="P103" s="736">
        <f t="shared" si="13"/>
        <v>-380000</v>
      </c>
      <c r="Q103" s="736">
        <f t="shared" si="13"/>
        <v>-643000</v>
      </c>
      <c r="R103" s="736">
        <f t="shared" si="13"/>
        <v>-643000</v>
      </c>
    </row>
    <row r="104" spans="2:18" ht="18" customHeight="1">
      <c r="B104" s="771"/>
      <c r="C104" s="741"/>
      <c r="D104" s="741"/>
      <c r="E104" s="741"/>
      <c r="F104" s="734"/>
      <c r="G104" s="734"/>
      <c r="H104" s="734"/>
      <c r="I104" s="734"/>
      <c r="J104" s="734"/>
      <c r="K104" s="734"/>
      <c r="L104" s="734"/>
      <c r="M104" s="734"/>
      <c r="N104" s="734"/>
      <c r="O104" s="734"/>
      <c r="P104" s="734"/>
      <c r="Q104" s="734"/>
      <c r="R104" s="734"/>
    </row>
    <row r="105" spans="2:18" ht="18" customHeight="1">
      <c r="B105" s="764" t="str">
        <f>Riepilogo!D34</f>
        <v>H-Farm S.p.A.</v>
      </c>
      <c r="C105" s="735"/>
      <c r="D105" s="735"/>
      <c r="E105" s="735"/>
      <c r="F105" s="735"/>
      <c r="G105" s="735"/>
      <c r="H105" s="748"/>
      <c r="I105" s="735"/>
      <c r="J105" s="735"/>
      <c r="K105" s="735"/>
      <c r="L105" s="735"/>
      <c r="M105" s="749"/>
      <c r="N105" s="749"/>
      <c r="O105" s="749"/>
      <c r="P105" s="749"/>
      <c r="Q105" s="749"/>
      <c r="R105" s="749"/>
    </row>
    <row r="106" spans="2:18" ht="18" customHeight="1">
      <c r="B106" s="765" t="s">
        <v>331</v>
      </c>
      <c r="C106" s="735"/>
      <c r="D106" s="735"/>
      <c r="E106" s="735"/>
      <c r="F106" s="735"/>
      <c r="G106" s="735"/>
      <c r="H106" s="748"/>
      <c r="I106" s="735"/>
      <c r="J106" s="735"/>
      <c r="K106" s="735">
        <v>0</v>
      </c>
      <c r="L106" s="735">
        <v>0</v>
      </c>
      <c r="M106" s="749">
        <v>0</v>
      </c>
      <c r="N106" s="749">
        <v>0</v>
      </c>
      <c r="O106" s="749">
        <v>0</v>
      </c>
      <c r="P106" s="749">
        <v>0</v>
      </c>
      <c r="Q106" s="749">
        <v>0</v>
      </c>
      <c r="R106" s="749">
        <v>0</v>
      </c>
    </row>
    <row r="107" spans="2:18" ht="18" customHeight="1">
      <c r="B107" s="765" t="s">
        <v>253</v>
      </c>
      <c r="C107" s="735"/>
      <c r="D107" s="735"/>
      <c r="E107" s="735"/>
      <c r="F107" s="735"/>
      <c r="G107" s="735"/>
      <c r="H107" s="735"/>
      <c r="I107" s="735"/>
      <c r="J107" s="735"/>
      <c r="K107" s="735">
        <v>0</v>
      </c>
      <c r="L107" s="735">
        <v>0</v>
      </c>
      <c r="M107" s="735">
        <v>0</v>
      </c>
      <c r="N107" s="735">
        <v>0</v>
      </c>
      <c r="O107" s="735">
        <v>0</v>
      </c>
      <c r="P107" s="735">
        <v>288509.5</v>
      </c>
      <c r="Q107" s="735">
        <v>-580125</v>
      </c>
      <c r="R107" s="735">
        <v>149047.5</v>
      </c>
    </row>
    <row r="108" spans="2:18" ht="18" customHeight="1">
      <c r="B108" s="766" t="s">
        <v>252</v>
      </c>
      <c r="C108" s="737"/>
      <c r="D108" s="737"/>
      <c r="E108" s="737"/>
      <c r="F108" s="754"/>
      <c r="G108" s="754"/>
      <c r="H108" s="754"/>
      <c r="I108" s="754"/>
      <c r="J108" s="754"/>
      <c r="K108" s="754">
        <f>($D107+SUM($F107:K107))</f>
        <v>0</v>
      </c>
      <c r="L108" s="754">
        <f>($D107+SUM($F107:L107))</f>
        <v>0</v>
      </c>
      <c r="M108" s="754">
        <f>($D107+SUM($F107:M107))</f>
        <v>0</v>
      </c>
      <c r="N108" s="754">
        <f>($D107+SUM($F107:N107))</f>
        <v>0</v>
      </c>
      <c r="O108" s="754">
        <f>($D107+SUM($F107:O107))</f>
        <v>0</v>
      </c>
      <c r="P108" s="754">
        <f>($D107+SUM($F107:P107))</f>
        <v>288509.5</v>
      </c>
      <c r="Q108" s="754">
        <f>($D107+SUM($F107:Q107))</f>
        <v>-291615.5</v>
      </c>
      <c r="R108" s="754">
        <f>($D107+SUM($F107:R107))</f>
        <v>-142568</v>
      </c>
    </row>
    <row r="109" spans="2:18" ht="12" customHeight="1">
      <c r="B109" s="767"/>
      <c r="C109" s="740"/>
      <c r="D109" s="740"/>
      <c r="E109" s="740"/>
      <c r="F109" s="740"/>
      <c r="G109" s="740"/>
      <c r="H109" s="740"/>
      <c r="I109" s="740"/>
      <c r="J109" s="740"/>
      <c r="K109" s="742"/>
      <c r="L109" s="743"/>
      <c r="M109" s="743"/>
      <c r="N109" s="743"/>
      <c r="O109" s="743"/>
      <c r="P109" s="743"/>
      <c r="Q109" s="743"/>
      <c r="R109" s="743"/>
    </row>
    <row r="110" spans="2:18" ht="18" customHeight="1">
      <c r="B110" s="769" t="s">
        <v>557</v>
      </c>
      <c r="C110" s="735"/>
      <c r="D110" s="735"/>
      <c r="E110" s="735"/>
      <c r="F110" s="735"/>
      <c r="G110" s="735"/>
      <c r="H110" s="735"/>
      <c r="I110" s="735"/>
      <c r="J110" s="735"/>
      <c r="K110" s="735">
        <v>0</v>
      </c>
      <c r="L110" s="735">
        <v>0</v>
      </c>
      <c r="M110" s="735">
        <v>0</v>
      </c>
      <c r="N110" s="735">
        <v>0</v>
      </c>
      <c r="O110" s="735">
        <v>0</v>
      </c>
      <c r="P110" s="735">
        <v>0</v>
      </c>
      <c r="Q110" s="735">
        <v>0</v>
      </c>
      <c r="R110" s="735">
        <v>0</v>
      </c>
    </row>
    <row r="111" spans="2:18" ht="18" customHeight="1">
      <c r="B111" s="769" t="s">
        <v>251</v>
      </c>
      <c r="C111" s="735"/>
      <c r="D111" s="735"/>
      <c r="E111" s="735"/>
      <c r="F111" s="735"/>
      <c r="G111" s="735"/>
      <c r="H111" s="735"/>
      <c r="I111" s="735"/>
      <c r="J111" s="735"/>
      <c r="K111" s="735">
        <v>0</v>
      </c>
      <c r="L111" s="735">
        <v>0</v>
      </c>
      <c r="M111" s="735">
        <v>0</v>
      </c>
      <c r="N111" s="735">
        <v>0</v>
      </c>
      <c r="O111" s="735">
        <v>0</v>
      </c>
      <c r="P111" s="735">
        <v>0</v>
      </c>
      <c r="Q111" s="735">
        <v>0</v>
      </c>
      <c r="R111" s="735">
        <v>0</v>
      </c>
    </row>
    <row r="112" spans="2:18" ht="18" customHeight="1">
      <c r="B112" s="769" t="s">
        <v>225</v>
      </c>
      <c r="C112" s="735"/>
      <c r="D112" s="735"/>
      <c r="E112" s="738"/>
      <c r="F112" s="738"/>
      <c r="G112" s="738"/>
      <c r="H112" s="738"/>
      <c r="I112" s="738"/>
      <c r="J112" s="738"/>
      <c r="K112" s="738">
        <v>0</v>
      </c>
      <c r="L112" s="738">
        <v>0</v>
      </c>
      <c r="M112" s="738">
        <v>0</v>
      </c>
      <c r="N112" s="738">
        <v>0</v>
      </c>
      <c r="O112" s="738">
        <v>0</v>
      </c>
      <c r="P112" s="738">
        <v>0</v>
      </c>
      <c r="Q112" s="738">
        <v>0</v>
      </c>
      <c r="R112" s="738">
        <v>0</v>
      </c>
    </row>
    <row r="113" spans="2:18" ht="18" customHeight="1">
      <c r="B113" s="776" t="s">
        <v>559</v>
      </c>
      <c r="C113" s="737"/>
      <c r="D113" s="737"/>
      <c r="E113" s="737"/>
      <c r="F113" s="736"/>
      <c r="G113" s="736"/>
      <c r="H113" s="736"/>
      <c r="I113" s="736"/>
      <c r="J113" s="736"/>
      <c r="K113" s="736">
        <f>SUM(K110:K112)</f>
        <v>0</v>
      </c>
      <c r="L113" s="736">
        <f aca="true" t="shared" si="14" ref="L113:Q113">SUM(L110:L112)</f>
        <v>0</v>
      </c>
      <c r="M113" s="736">
        <f t="shared" si="14"/>
        <v>0</v>
      </c>
      <c r="N113" s="736">
        <f t="shared" si="14"/>
        <v>0</v>
      </c>
      <c r="O113" s="736">
        <f t="shared" si="14"/>
        <v>0</v>
      </c>
      <c r="P113" s="736">
        <f t="shared" si="14"/>
        <v>0</v>
      </c>
      <c r="Q113" s="736">
        <f t="shared" si="14"/>
        <v>0</v>
      </c>
      <c r="R113" s="736">
        <f>SUM(R110:R112)</f>
        <v>0</v>
      </c>
    </row>
    <row r="114" spans="2:18" ht="12" customHeight="1">
      <c r="B114" s="767"/>
      <c r="C114" s="740"/>
      <c r="D114" s="740"/>
      <c r="E114" s="740"/>
      <c r="F114" s="740"/>
      <c r="G114" s="740"/>
      <c r="H114" s="740"/>
      <c r="I114" s="740"/>
      <c r="J114" s="740"/>
      <c r="K114" s="742"/>
      <c r="L114" s="743"/>
      <c r="M114" s="743"/>
      <c r="N114" s="743"/>
      <c r="O114" s="743"/>
      <c r="P114" s="743"/>
      <c r="Q114" s="743"/>
      <c r="R114" s="743"/>
    </row>
    <row r="115" spans="2:18" ht="18" customHeight="1">
      <c r="B115" s="765" t="s">
        <v>556</v>
      </c>
      <c r="C115" s="735"/>
      <c r="D115" s="735"/>
      <c r="E115" s="735"/>
      <c r="F115" s="753"/>
      <c r="G115" s="753"/>
      <c r="H115" s="753"/>
      <c r="I115" s="753"/>
      <c r="J115" s="753"/>
      <c r="K115" s="753">
        <f aca="true" t="shared" si="15" ref="K115:R115">J115+K113</f>
        <v>0</v>
      </c>
      <c r="L115" s="753">
        <f t="shared" si="15"/>
        <v>0</v>
      </c>
      <c r="M115" s="753">
        <f t="shared" si="15"/>
        <v>0</v>
      </c>
      <c r="N115" s="753">
        <f t="shared" si="15"/>
        <v>0</v>
      </c>
      <c r="O115" s="753">
        <f t="shared" si="15"/>
        <v>0</v>
      </c>
      <c r="P115" s="753">
        <f t="shared" si="15"/>
        <v>0</v>
      </c>
      <c r="Q115" s="753">
        <f t="shared" si="15"/>
        <v>0</v>
      </c>
      <c r="R115" s="753">
        <f t="shared" si="15"/>
        <v>0</v>
      </c>
    </row>
    <row r="116" spans="2:18" ht="18" customHeight="1">
      <c r="B116" s="771"/>
      <c r="C116" s="741"/>
      <c r="D116" s="741"/>
      <c r="E116" s="741"/>
      <c r="F116" s="734"/>
      <c r="G116" s="734"/>
      <c r="H116" s="734"/>
      <c r="I116" s="734"/>
      <c r="J116" s="734"/>
      <c r="K116" s="734"/>
      <c r="L116" s="734"/>
      <c r="M116" s="734"/>
      <c r="N116" s="734"/>
      <c r="O116" s="734"/>
      <c r="P116" s="734"/>
      <c r="Q116" s="734"/>
      <c r="R116" s="734"/>
    </row>
    <row r="117" spans="2:18" ht="18" customHeight="1">
      <c r="B117" s="764" t="str">
        <f>Riepilogo!D36</f>
        <v>WearIT S.r.l.</v>
      </c>
      <c r="C117" s="735"/>
      <c r="D117" s="735"/>
      <c r="E117" s="735"/>
      <c r="F117" s="735"/>
      <c r="G117" s="735"/>
      <c r="H117" s="748"/>
      <c r="I117" s="735"/>
      <c r="J117" s="735"/>
      <c r="K117" s="735"/>
      <c r="L117" s="735"/>
      <c r="M117" s="749"/>
      <c r="N117" s="749"/>
      <c r="O117" s="749"/>
      <c r="P117" s="749"/>
      <c r="Q117" s="749"/>
      <c r="R117" s="749"/>
    </row>
    <row r="118" spans="2:18" ht="18" customHeight="1">
      <c r="B118" s="765" t="s">
        <v>253</v>
      </c>
      <c r="C118" s="735"/>
      <c r="D118" s="735"/>
      <c r="E118" s="735"/>
      <c r="F118" s="735"/>
      <c r="G118" s="735"/>
      <c r="H118" s="735"/>
      <c r="I118" s="735"/>
      <c r="J118" s="735"/>
      <c r="K118" s="735">
        <v>0</v>
      </c>
      <c r="L118" s="735">
        <v>0</v>
      </c>
      <c r="M118" s="735">
        <v>0</v>
      </c>
      <c r="N118" s="735">
        <v>0</v>
      </c>
      <c r="O118" s="735">
        <v>0</v>
      </c>
      <c r="P118" s="735">
        <v>0</v>
      </c>
      <c r="Q118" s="735">
        <v>0</v>
      </c>
      <c r="R118" s="735">
        <v>0</v>
      </c>
    </row>
    <row r="119" spans="2:18" ht="18" customHeight="1">
      <c r="B119" s="766" t="s">
        <v>252</v>
      </c>
      <c r="C119" s="737"/>
      <c r="D119" s="737"/>
      <c r="E119" s="737"/>
      <c r="F119" s="754"/>
      <c r="G119" s="754"/>
      <c r="H119" s="754"/>
      <c r="I119" s="754"/>
      <c r="J119" s="754"/>
      <c r="K119" s="754">
        <f>($D118+SUM($F118:K118))</f>
        <v>0</v>
      </c>
      <c r="L119" s="754">
        <f>($D118+SUM($F118:L118))</f>
        <v>0</v>
      </c>
      <c r="M119" s="754">
        <f>($D118+SUM($F118:M118))</f>
        <v>0</v>
      </c>
      <c r="N119" s="754">
        <f>($D118+SUM($F118:N118))</f>
        <v>0</v>
      </c>
      <c r="O119" s="754">
        <f>($D118+SUM($F118:O118))</f>
        <v>0</v>
      </c>
      <c r="P119" s="754">
        <f>($D118+SUM($F118:P118))</f>
        <v>0</v>
      </c>
      <c r="Q119" s="754">
        <f>($D118+SUM($F118:Q118))</f>
        <v>0</v>
      </c>
      <c r="R119" s="754">
        <f>($D118+SUM($F118:R118))</f>
        <v>0</v>
      </c>
    </row>
    <row r="120" spans="2:18" ht="12" customHeight="1">
      <c r="B120" s="767"/>
      <c r="C120" s="740"/>
      <c r="D120" s="740"/>
      <c r="E120" s="740"/>
      <c r="F120" s="740"/>
      <c r="G120" s="740"/>
      <c r="H120" s="740"/>
      <c r="I120" s="740"/>
      <c r="J120" s="740"/>
      <c r="K120" s="742"/>
      <c r="L120" s="743"/>
      <c r="M120" s="743"/>
      <c r="N120" s="743"/>
      <c r="O120" s="743"/>
      <c r="P120" s="743"/>
      <c r="Q120" s="743"/>
      <c r="R120" s="743"/>
    </row>
    <row r="121" spans="2:18" ht="18" customHeight="1">
      <c r="B121" s="769" t="s">
        <v>557</v>
      </c>
      <c r="C121" s="735"/>
      <c r="D121" s="735"/>
      <c r="E121" s="735"/>
      <c r="F121" s="735"/>
      <c r="G121" s="735"/>
      <c r="H121" s="735"/>
      <c r="I121" s="735"/>
      <c r="J121" s="735"/>
      <c r="K121" s="735">
        <v>0</v>
      </c>
      <c r="L121" s="735">
        <v>0</v>
      </c>
      <c r="M121" s="735">
        <v>0</v>
      </c>
      <c r="N121" s="735">
        <v>0</v>
      </c>
      <c r="O121" s="735">
        <v>0</v>
      </c>
      <c r="P121" s="735">
        <v>-458000</v>
      </c>
      <c r="Q121" s="735">
        <v>-41999</v>
      </c>
      <c r="R121" s="735">
        <v>0</v>
      </c>
    </row>
    <row r="122" spans="2:18" ht="18" customHeight="1">
      <c r="B122" s="769" t="s">
        <v>251</v>
      </c>
      <c r="C122" s="735"/>
      <c r="D122" s="735"/>
      <c r="E122" s="735"/>
      <c r="F122" s="735"/>
      <c r="G122" s="735"/>
      <c r="H122" s="735"/>
      <c r="I122" s="735"/>
      <c r="J122" s="735"/>
      <c r="K122" s="735">
        <v>0</v>
      </c>
      <c r="L122" s="735">
        <v>0</v>
      </c>
      <c r="M122" s="735">
        <v>0</v>
      </c>
      <c r="N122" s="735">
        <v>0</v>
      </c>
      <c r="O122" s="735">
        <v>0</v>
      </c>
      <c r="P122" s="735">
        <v>0</v>
      </c>
      <c r="Q122" s="735">
        <v>0</v>
      </c>
      <c r="R122" s="735">
        <v>0</v>
      </c>
    </row>
    <row r="123" spans="2:18" ht="18" customHeight="1">
      <c r="B123" s="769" t="s">
        <v>225</v>
      </c>
      <c r="C123" s="735"/>
      <c r="D123" s="735"/>
      <c r="E123" s="738"/>
      <c r="F123" s="738"/>
      <c r="G123" s="738"/>
      <c r="H123" s="738"/>
      <c r="I123" s="738"/>
      <c r="J123" s="738"/>
      <c r="K123" s="738">
        <v>0</v>
      </c>
      <c r="L123" s="738">
        <v>0</v>
      </c>
      <c r="M123" s="738">
        <v>0</v>
      </c>
      <c r="N123" s="738">
        <v>0</v>
      </c>
      <c r="O123" s="738">
        <v>0</v>
      </c>
      <c r="P123" s="738">
        <v>0</v>
      </c>
      <c r="Q123" s="738">
        <v>0</v>
      </c>
      <c r="R123" s="738">
        <v>0</v>
      </c>
    </row>
    <row r="124" spans="2:18" ht="18" customHeight="1">
      <c r="B124" s="776" t="s">
        <v>559</v>
      </c>
      <c r="C124" s="737"/>
      <c r="D124" s="737"/>
      <c r="E124" s="737"/>
      <c r="F124" s="736"/>
      <c r="G124" s="736"/>
      <c r="H124" s="736"/>
      <c r="I124" s="736"/>
      <c r="J124" s="736"/>
      <c r="K124" s="736">
        <f>SUM(K121:K123)</f>
        <v>0</v>
      </c>
      <c r="L124" s="736">
        <f aca="true" t="shared" si="16" ref="L124:Q124">SUM(L121:L123)</f>
        <v>0</v>
      </c>
      <c r="M124" s="736">
        <f t="shared" si="16"/>
        <v>0</v>
      </c>
      <c r="N124" s="736">
        <f t="shared" si="16"/>
        <v>0</v>
      </c>
      <c r="O124" s="736">
        <f t="shared" si="16"/>
        <v>0</v>
      </c>
      <c r="P124" s="736">
        <f t="shared" si="16"/>
        <v>-458000</v>
      </c>
      <c r="Q124" s="736">
        <f t="shared" si="16"/>
        <v>-41999</v>
      </c>
      <c r="R124" s="736">
        <f>SUM(R121:R123)</f>
        <v>0</v>
      </c>
    </row>
    <row r="125" spans="2:18" ht="12" customHeight="1">
      <c r="B125" s="767"/>
      <c r="C125" s="740"/>
      <c r="D125" s="740"/>
      <c r="E125" s="740"/>
      <c r="F125" s="740"/>
      <c r="G125" s="740"/>
      <c r="H125" s="740"/>
      <c r="I125" s="740"/>
      <c r="J125" s="740"/>
      <c r="K125" s="742"/>
      <c r="L125" s="743"/>
      <c r="M125" s="743"/>
      <c r="N125" s="743"/>
      <c r="O125" s="743"/>
      <c r="P125" s="743"/>
      <c r="Q125" s="743"/>
      <c r="R125" s="743"/>
    </row>
    <row r="126" spans="2:18" ht="18" customHeight="1">
      <c r="B126" s="765" t="s">
        <v>556</v>
      </c>
      <c r="C126" s="735"/>
      <c r="D126" s="735"/>
      <c r="E126" s="735"/>
      <c r="F126" s="753"/>
      <c r="G126" s="753"/>
      <c r="H126" s="753"/>
      <c r="I126" s="753"/>
      <c r="J126" s="753"/>
      <c r="K126" s="753">
        <f aca="true" t="shared" si="17" ref="K126:R126">J126+K124</f>
        <v>0</v>
      </c>
      <c r="L126" s="753">
        <f t="shared" si="17"/>
        <v>0</v>
      </c>
      <c r="M126" s="753">
        <f t="shared" si="17"/>
        <v>0</v>
      </c>
      <c r="N126" s="753">
        <f t="shared" si="17"/>
        <v>0</v>
      </c>
      <c r="O126" s="753">
        <f t="shared" si="17"/>
        <v>0</v>
      </c>
      <c r="P126" s="736">
        <f t="shared" si="17"/>
        <v>-458000</v>
      </c>
      <c r="Q126" s="736">
        <f t="shared" si="17"/>
        <v>-499999</v>
      </c>
      <c r="R126" s="736">
        <f t="shared" si="17"/>
        <v>-499999</v>
      </c>
    </row>
    <row r="127" spans="2:18" ht="18" customHeight="1">
      <c r="B127" s="771"/>
      <c r="C127" s="741"/>
      <c r="D127" s="741"/>
      <c r="E127" s="741"/>
      <c r="F127" s="734"/>
      <c r="G127" s="734"/>
      <c r="H127" s="734"/>
      <c r="I127" s="734"/>
      <c r="J127" s="734"/>
      <c r="K127" s="734"/>
      <c r="L127" s="734"/>
      <c r="M127" s="734"/>
      <c r="N127" s="734"/>
      <c r="O127" s="734"/>
      <c r="P127" s="734"/>
      <c r="Q127" s="734"/>
      <c r="R127" s="734"/>
    </row>
    <row r="128" spans="2:18" ht="18" customHeight="1">
      <c r="B128" s="770"/>
      <c r="C128" s="744"/>
      <c r="D128" s="744"/>
      <c r="E128" s="744"/>
      <c r="F128" s="744"/>
      <c r="G128" s="744"/>
      <c r="H128" s="744"/>
      <c r="I128" s="744"/>
      <c r="J128" s="744"/>
      <c r="K128" s="744"/>
      <c r="L128" s="744"/>
      <c r="M128" s="744"/>
      <c r="N128" s="744"/>
      <c r="O128" s="744"/>
      <c r="P128" s="744"/>
      <c r="Q128" s="744"/>
      <c r="R128" s="744"/>
    </row>
    <row r="129" spans="2:18" ht="18" customHeight="1">
      <c r="B129" s="806" t="str">
        <f>Riepilogo!D67</f>
        <v>APVS S.r.l.</v>
      </c>
      <c r="C129" s="735"/>
      <c r="D129" s="735"/>
      <c r="E129" s="735"/>
      <c r="F129" s="735"/>
      <c r="G129" s="735"/>
      <c r="H129" s="748"/>
      <c r="I129" s="735"/>
      <c r="J129" s="735"/>
      <c r="K129" s="735"/>
      <c r="L129" s="735"/>
      <c r="M129" s="749"/>
      <c r="N129" s="749"/>
      <c r="O129" s="749"/>
      <c r="P129" s="749"/>
      <c r="Q129" s="749"/>
      <c r="R129" s="749"/>
    </row>
    <row r="130" spans="2:18" ht="18" customHeight="1">
      <c r="B130" s="765" t="s">
        <v>253</v>
      </c>
      <c r="C130" s="735"/>
      <c r="D130" s="735"/>
      <c r="E130" s="735"/>
      <c r="F130" s="735">
        <v>0</v>
      </c>
      <c r="G130" s="735">
        <v>0</v>
      </c>
      <c r="H130" s="735">
        <v>0</v>
      </c>
      <c r="I130" s="735">
        <v>0</v>
      </c>
      <c r="J130" s="735">
        <v>0</v>
      </c>
      <c r="K130" s="735">
        <v>0</v>
      </c>
      <c r="L130" s="735">
        <v>0</v>
      </c>
      <c r="M130" s="735">
        <v>0</v>
      </c>
      <c r="N130" s="735">
        <v>0</v>
      </c>
      <c r="O130" s="735">
        <v>0</v>
      </c>
      <c r="P130" s="735">
        <v>0</v>
      </c>
      <c r="Q130" s="735">
        <v>0</v>
      </c>
      <c r="R130" s="735">
        <v>0</v>
      </c>
    </row>
    <row r="131" spans="2:18" ht="18" customHeight="1">
      <c r="B131" s="766" t="s">
        <v>252</v>
      </c>
      <c r="C131" s="737"/>
      <c r="D131" s="737"/>
      <c r="E131" s="737"/>
      <c r="F131" s="754">
        <f>($D130+SUM($F130:F130))</f>
        <v>0</v>
      </c>
      <c r="G131" s="754">
        <f>($D130+SUM($F130:G130))</f>
        <v>0</v>
      </c>
      <c r="H131" s="754">
        <f>($D130+SUM($F130:H130))</f>
        <v>0</v>
      </c>
      <c r="I131" s="754">
        <f>($D130+SUM($F130:I130))</f>
        <v>0</v>
      </c>
      <c r="J131" s="754">
        <f>($D130+SUM($F130:J130))</f>
        <v>0</v>
      </c>
      <c r="K131" s="754">
        <f>($D130+SUM($F130:K130))</f>
        <v>0</v>
      </c>
      <c r="L131" s="754">
        <f>($D130+SUM($F130:L130))</f>
        <v>0</v>
      </c>
      <c r="M131" s="754">
        <f>($D130+SUM($F130:M130))</f>
        <v>0</v>
      </c>
      <c r="N131" s="754">
        <f>($D130+SUM($F130:N130))</f>
        <v>0</v>
      </c>
      <c r="O131" s="754">
        <f>($D130+SUM($F130:O130))</f>
        <v>0</v>
      </c>
      <c r="P131" s="754">
        <f>($D130+SUM($F130:P130))</f>
        <v>0</v>
      </c>
      <c r="Q131" s="754">
        <f>($D130+SUM($F130:Q130))</f>
        <v>0</v>
      </c>
      <c r="R131" s="754">
        <f>($D130+SUM($F130:R130))</f>
        <v>0</v>
      </c>
    </row>
    <row r="132" spans="2:18" ht="12" customHeight="1">
      <c r="B132" s="767"/>
      <c r="C132" s="740"/>
      <c r="D132" s="740"/>
      <c r="E132" s="740"/>
      <c r="F132" s="740"/>
      <c r="G132" s="740"/>
      <c r="H132" s="740"/>
      <c r="I132" s="740"/>
      <c r="J132" s="740"/>
      <c r="K132" s="742"/>
      <c r="L132" s="743"/>
      <c r="M132" s="743"/>
      <c r="N132" s="743"/>
      <c r="O132" s="743"/>
      <c r="P132" s="743"/>
      <c r="Q132" s="743"/>
      <c r="R132" s="743"/>
    </row>
    <row r="133" spans="2:18" ht="18" customHeight="1">
      <c r="B133" s="769" t="s">
        <v>557</v>
      </c>
      <c r="C133" s="735"/>
      <c r="D133" s="735"/>
      <c r="E133" s="735"/>
      <c r="F133" s="735">
        <v>0</v>
      </c>
      <c r="G133" s="735">
        <v>0</v>
      </c>
      <c r="H133" s="735">
        <v>0</v>
      </c>
      <c r="I133" s="735">
        <v>0</v>
      </c>
      <c r="J133" s="735">
        <v>0</v>
      </c>
      <c r="K133" s="735">
        <v>0</v>
      </c>
      <c r="L133" s="735">
        <v>0</v>
      </c>
      <c r="M133" s="735">
        <v>0</v>
      </c>
      <c r="N133" s="735">
        <v>-1912953</v>
      </c>
      <c r="O133" s="735">
        <v>-103246</v>
      </c>
      <c r="P133" s="735">
        <v>2016199</v>
      </c>
      <c r="Q133" s="735">
        <v>0</v>
      </c>
      <c r="R133" s="735">
        <v>0</v>
      </c>
    </row>
    <row r="134" spans="2:18" ht="18" customHeight="1">
      <c r="B134" s="769" t="s">
        <v>251</v>
      </c>
      <c r="C134" s="735"/>
      <c r="D134" s="735"/>
      <c r="E134" s="735"/>
      <c r="F134" s="735">
        <v>0</v>
      </c>
      <c r="G134" s="735">
        <v>0</v>
      </c>
      <c r="H134" s="735">
        <v>0</v>
      </c>
      <c r="I134" s="735">
        <v>0</v>
      </c>
      <c r="J134" s="735">
        <v>0</v>
      </c>
      <c r="K134" s="735">
        <v>0</v>
      </c>
      <c r="L134" s="735">
        <v>0</v>
      </c>
      <c r="M134" s="735">
        <v>0</v>
      </c>
      <c r="N134" s="735">
        <v>0</v>
      </c>
      <c r="O134" s="735">
        <v>0</v>
      </c>
      <c r="P134" s="735">
        <v>0</v>
      </c>
      <c r="Q134" s="735">
        <v>0</v>
      </c>
      <c r="R134" s="735">
        <v>0</v>
      </c>
    </row>
    <row r="135" spans="2:18" ht="18" customHeight="1">
      <c r="B135" s="769" t="s">
        <v>225</v>
      </c>
      <c r="C135" s="735"/>
      <c r="D135" s="735"/>
      <c r="E135" s="738"/>
      <c r="F135" s="738">
        <v>0</v>
      </c>
      <c r="G135" s="738">
        <v>0</v>
      </c>
      <c r="H135" s="738">
        <v>0</v>
      </c>
      <c r="I135" s="738">
        <v>0</v>
      </c>
      <c r="J135" s="738">
        <v>0</v>
      </c>
      <c r="K135" s="738">
        <v>0</v>
      </c>
      <c r="L135" s="738">
        <v>0</v>
      </c>
      <c r="M135" s="738">
        <v>0</v>
      </c>
      <c r="N135" s="738">
        <v>0</v>
      </c>
      <c r="O135" s="738">
        <v>0</v>
      </c>
      <c r="P135" s="738">
        <v>0</v>
      </c>
      <c r="Q135" s="738">
        <v>0</v>
      </c>
      <c r="R135" s="738">
        <v>0</v>
      </c>
    </row>
    <row r="136" spans="2:18" ht="18" customHeight="1">
      <c r="B136" s="776" t="s">
        <v>559</v>
      </c>
      <c r="C136" s="737"/>
      <c r="D136" s="737"/>
      <c r="E136" s="737"/>
      <c r="F136" s="736">
        <f>SUM(F133:F135)</f>
        <v>0</v>
      </c>
      <c r="G136" s="736">
        <f aca="true" t="shared" si="18" ref="G136:Q136">SUM(G133:G135)</f>
        <v>0</v>
      </c>
      <c r="H136" s="736">
        <f t="shared" si="18"/>
        <v>0</v>
      </c>
      <c r="I136" s="736">
        <f t="shared" si="18"/>
        <v>0</v>
      </c>
      <c r="J136" s="736">
        <f t="shared" si="18"/>
        <v>0</v>
      </c>
      <c r="K136" s="736">
        <f t="shared" si="18"/>
        <v>0</v>
      </c>
      <c r="L136" s="736">
        <f t="shared" si="18"/>
        <v>0</v>
      </c>
      <c r="M136" s="736">
        <f t="shared" si="18"/>
        <v>0</v>
      </c>
      <c r="N136" s="736">
        <f t="shared" si="18"/>
        <v>-1912953</v>
      </c>
      <c r="O136" s="736">
        <f t="shared" si="18"/>
        <v>-103246</v>
      </c>
      <c r="P136" s="736">
        <f t="shared" si="18"/>
        <v>2016199</v>
      </c>
      <c r="Q136" s="736">
        <f t="shared" si="18"/>
        <v>0</v>
      </c>
      <c r="R136" s="736">
        <f>SUM(R133:R135)</f>
        <v>0</v>
      </c>
    </row>
    <row r="137" spans="2:18" ht="12" customHeight="1">
      <c r="B137" s="767"/>
      <c r="C137" s="740"/>
      <c r="D137" s="740"/>
      <c r="E137" s="740"/>
      <c r="F137" s="740"/>
      <c r="G137" s="740"/>
      <c r="H137" s="740"/>
      <c r="I137" s="740"/>
      <c r="J137" s="740"/>
      <c r="K137" s="742"/>
      <c r="L137" s="743"/>
      <c r="M137" s="743"/>
      <c r="N137" s="743"/>
      <c r="O137" s="743"/>
      <c r="P137" s="743"/>
      <c r="Q137" s="743"/>
      <c r="R137" s="743"/>
    </row>
    <row r="138" spans="2:18" ht="18" customHeight="1">
      <c r="B138" s="765" t="s">
        <v>556</v>
      </c>
      <c r="C138" s="735"/>
      <c r="D138" s="735"/>
      <c r="E138" s="735"/>
      <c r="F138" s="753">
        <f aca="true" t="shared" si="19" ref="F138:R138">E138+F136</f>
        <v>0</v>
      </c>
      <c r="G138" s="753">
        <f t="shared" si="19"/>
        <v>0</v>
      </c>
      <c r="H138" s="753">
        <f t="shared" si="19"/>
        <v>0</v>
      </c>
      <c r="I138" s="753">
        <f t="shared" si="19"/>
        <v>0</v>
      </c>
      <c r="J138" s="753">
        <f t="shared" si="19"/>
        <v>0</v>
      </c>
      <c r="K138" s="753">
        <f t="shared" si="19"/>
        <v>0</v>
      </c>
      <c r="L138" s="753">
        <f t="shared" si="19"/>
        <v>0</v>
      </c>
      <c r="M138" s="753">
        <f t="shared" si="19"/>
        <v>0</v>
      </c>
      <c r="N138" s="736">
        <f t="shared" si="19"/>
        <v>-1912953</v>
      </c>
      <c r="O138" s="736">
        <f t="shared" si="19"/>
        <v>-2016199</v>
      </c>
      <c r="P138" s="753">
        <f t="shared" si="19"/>
        <v>0</v>
      </c>
      <c r="Q138" s="753">
        <f t="shared" si="19"/>
        <v>0</v>
      </c>
      <c r="R138" s="753">
        <f t="shared" si="19"/>
        <v>0</v>
      </c>
    </row>
    <row r="139" spans="2:18" ht="18" customHeight="1">
      <c r="B139" s="770"/>
      <c r="C139" s="744"/>
      <c r="D139" s="744"/>
      <c r="E139" s="744"/>
      <c r="F139" s="744"/>
      <c r="G139" s="744"/>
      <c r="H139" s="744"/>
      <c r="I139" s="744"/>
      <c r="J139" s="744"/>
      <c r="K139" s="744"/>
      <c r="L139" s="744"/>
      <c r="M139" s="744"/>
      <c r="N139" s="744"/>
      <c r="O139" s="744"/>
      <c r="P139" s="744"/>
      <c r="Q139" s="744"/>
      <c r="R139" s="744"/>
    </row>
    <row r="140" spans="2:18" ht="18" customHeight="1">
      <c r="B140" s="764" t="str">
        <f>Riepilogo!D69</f>
        <v>Enrive S.p.A.</v>
      </c>
      <c r="C140" s="735"/>
      <c r="D140" s="735"/>
      <c r="E140" s="735"/>
      <c r="F140" s="735"/>
      <c r="G140" s="735"/>
      <c r="H140" s="748"/>
      <c r="I140" s="735"/>
      <c r="J140" s="735"/>
      <c r="K140" s="735"/>
      <c r="L140" s="735"/>
      <c r="M140" s="749"/>
      <c r="N140" s="749"/>
      <c r="O140" s="749"/>
      <c r="P140" s="749"/>
      <c r="Q140" s="749"/>
      <c r="R140" s="749"/>
    </row>
    <row r="141" spans="2:18" ht="18" customHeight="1">
      <c r="B141" s="765" t="s">
        <v>253</v>
      </c>
      <c r="C141" s="735"/>
      <c r="D141" s="735"/>
      <c r="E141" s="735"/>
      <c r="F141" s="735"/>
      <c r="G141" s="735"/>
      <c r="H141" s="735"/>
      <c r="I141" s="735"/>
      <c r="J141" s="735"/>
      <c r="K141" s="735">
        <v>0</v>
      </c>
      <c r="L141" s="735">
        <v>0</v>
      </c>
      <c r="M141" s="735">
        <v>0</v>
      </c>
      <c r="N141" s="735">
        <v>0</v>
      </c>
      <c r="O141" s="735">
        <v>0</v>
      </c>
      <c r="P141" s="735">
        <v>0</v>
      </c>
      <c r="Q141" s="735">
        <v>0</v>
      </c>
      <c r="R141" s="735">
        <v>0</v>
      </c>
    </row>
    <row r="142" spans="2:18" ht="18" customHeight="1">
      <c r="B142" s="766" t="s">
        <v>252</v>
      </c>
      <c r="C142" s="737"/>
      <c r="D142" s="737"/>
      <c r="E142" s="737"/>
      <c r="F142" s="737"/>
      <c r="G142" s="736"/>
      <c r="H142" s="754"/>
      <c r="I142" s="754"/>
      <c r="J142" s="754"/>
      <c r="K142" s="754">
        <f>($D141+SUM($F141:K141))</f>
        <v>0</v>
      </c>
      <c r="L142" s="754">
        <f>($D141+SUM($F141:L141))</f>
        <v>0</v>
      </c>
      <c r="M142" s="754">
        <f>($D141+SUM($F141:M141))</f>
        <v>0</v>
      </c>
      <c r="N142" s="754">
        <f>($D141+SUM($F141:N141))</f>
        <v>0</v>
      </c>
      <c r="O142" s="754">
        <f>($D141+SUM($F141:O141))</f>
        <v>0</v>
      </c>
      <c r="P142" s="754">
        <f>($D141+SUM($F141:P141))</f>
        <v>0</v>
      </c>
      <c r="Q142" s="754">
        <f>($D141+SUM($F141:Q141))</f>
        <v>0</v>
      </c>
      <c r="R142" s="754">
        <f>($D141+SUM($F141:R141))</f>
        <v>0</v>
      </c>
    </row>
    <row r="143" spans="2:18" ht="12" customHeight="1">
      <c r="B143" s="767"/>
      <c r="C143" s="740"/>
      <c r="D143" s="740"/>
      <c r="E143" s="740"/>
      <c r="F143" s="740"/>
      <c r="G143" s="740"/>
      <c r="H143" s="740"/>
      <c r="I143" s="740"/>
      <c r="J143" s="740"/>
      <c r="K143" s="742"/>
      <c r="L143" s="743"/>
      <c r="M143" s="743"/>
      <c r="N143" s="743"/>
      <c r="O143" s="743"/>
      <c r="P143" s="743"/>
      <c r="Q143" s="743"/>
      <c r="R143" s="743"/>
    </row>
    <row r="144" spans="2:18" ht="18" customHeight="1">
      <c r="B144" s="769" t="s">
        <v>557</v>
      </c>
      <c r="C144" s="735"/>
      <c r="D144" s="735"/>
      <c r="E144" s="735"/>
      <c r="F144" s="735"/>
      <c r="G144" s="735"/>
      <c r="H144" s="735"/>
      <c r="I144" s="735"/>
      <c r="J144" s="735"/>
      <c r="K144" s="735">
        <v>0</v>
      </c>
      <c r="L144" s="735">
        <v>-50879.85</v>
      </c>
      <c r="M144" s="735">
        <v>1364.89</v>
      </c>
      <c r="N144" s="735">
        <v>0</v>
      </c>
      <c r="O144" s="735">
        <v>0</v>
      </c>
      <c r="P144" s="735">
        <v>0</v>
      </c>
      <c r="Q144" s="735">
        <v>0</v>
      </c>
      <c r="R144" s="735">
        <v>-389000</v>
      </c>
    </row>
    <row r="145" spans="2:18" ht="18" customHeight="1">
      <c r="B145" s="769" t="s">
        <v>251</v>
      </c>
      <c r="C145" s="735"/>
      <c r="D145" s="735"/>
      <c r="E145" s="735"/>
      <c r="F145" s="735"/>
      <c r="G145" s="735"/>
      <c r="H145" s="735"/>
      <c r="I145" s="735"/>
      <c r="J145" s="735"/>
      <c r="K145" s="735">
        <v>0</v>
      </c>
      <c r="L145" s="735">
        <v>0</v>
      </c>
      <c r="M145" s="735">
        <v>0</v>
      </c>
      <c r="N145" s="735">
        <v>0</v>
      </c>
      <c r="O145" s="735">
        <v>0</v>
      </c>
      <c r="P145" s="735">
        <v>0</v>
      </c>
      <c r="Q145" s="735">
        <v>0</v>
      </c>
      <c r="R145" s="735">
        <v>0</v>
      </c>
    </row>
    <row r="146" spans="2:18" ht="18" customHeight="1">
      <c r="B146" s="769" t="s">
        <v>225</v>
      </c>
      <c r="C146" s="735"/>
      <c r="D146" s="735"/>
      <c r="E146" s="738"/>
      <c r="F146" s="738"/>
      <c r="G146" s="738"/>
      <c r="H146" s="738"/>
      <c r="I146" s="738"/>
      <c r="J146" s="738"/>
      <c r="K146" s="738">
        <v>0</v>
      </c>
      <c r="L146" s="738">
        <v>0</v>
      </c>
      <c r="M146" s="738">
        <v>0</v>
      </c>
      <c r="N146" s="738">
        <v>0</v>
      </c>
      <c r="O146" s="738">
        <v>0</v>
      </c>
      <c r="P146" s="738">
        <v>0</v>
      </c>
      <c r="Q146" s="738">
        <v>0</v>
      </c>
      <c r="R146" s="738">
        <v>0</v>
      </c>
    </row>
    <row r="147" spans="2:18" ht="18" customHeight="1">
      <c r="B147" s="776" t="s">
        <v>559</v>
      </c>
      <c r="C147" s="737"/>
      <c r="D147" s="737"/>
      <c r="E147" s="737"/>
      <c r="F147" s="737"/>
      <c r="G147" s="737"/>
      <c r="H147" s="737"/>
      <c r="I147" s="737"/>
      <c r="J147" s="737"/>
      <c r="K147" s="736">
        <f>SUM(K144:K146)</f>
        <v>0</v>
      </c>
      <c r="L147" s="736">
        <f aca="true" t="shared" si="20" ref="L147:Q147">SUM(L144:L146)</f>
        <v>-50879.85</v>
      </c>
      <c r="M147" s="736">
        <f t="shared" si="20"/>
        <v>1364.89</v>
      </c>
      <c r="N147" s="736">
        <f t="shared" si="20"/>
        <v>0</v>
      </c>
      <c r="O147" s="736">
        <f t="shared" si="20"/>
        <v>0</v>
      </c>
      <c r="P147" s="736">
        <f t="shared" si="20"/>
        <v>0</v>
      </c>
      <c r="Q147" s="736">
        <f t="shared" si="20"/>
        <v>0</v>
      </c>
      <c r="R147" s="736">
        <f>SUM(R144:R146)</f>
        <v>-389000</v>
      </c>
    </row>
    <row r="148" spans="2:18" ht="12" customHeight="1">
      <c r="B148" s="767"/>
      <c r="C148" s="740"/>
      <c r="D148" s="740"/>
      <c r="E148" s="740"/>
      <c r="F148" s="740"/>
      <c r="G148" s="740"/>
      <c r="H148" s="740"/>
      <c r="I148" s="740"/>
      <c r="J148" s="740"/>
      <c r="K148" s="742"/>
      <c r="L148" s="743"/>
      <c r="M148" s="743"/>
      <c r="N148" s="743"/>
      <c r="O148" s="743"/>
      <c r="P148" s="743"/>
      <c r="Q148" s="743"/>
      <c r="R148" s="743"/>
    </row>
    <row r="149" spans="2:18" ht="18" customHeight="1">
      <c r="B149" s="765" t="s">
        <v>556</v>
      </c>
      <c r="C149" s="735"/>
      <c r="D149" s="735"/>
      <c r="E149" s="735"/>
      <c r="F149" s="735"/>
      <c r="G149" s="735"/>
      <c r="H149" s="735"/>
      <c r="I149" s="735"/>
      <c r="J149" s="735"/>
      <c r="K149" s="753">
        <f aca="true" t="shared" si="21" ref="K149:R149">J149+K147</f>
        <v>0</v>
      </c>
      <c r="L149" s="739">
        <f t="shared" si="21"/>
        <v>-50879.85</v>
      </c>
      <c r="M149" s="739">
        <f t="shared" si="21"/>
        <v>-49514.96</v>
      </c>
      <c r="N149" s="739">
        <f t="shared" si="21"/>
        <v>-49514.96</v>
      </c>
      <c r="O149" s="739">
        <f t="shared" si="21"/>
        <v>-49514.96</v>
      </c>
      <c r="P149" s="739">
        <f t="shared" si="21"/>
        <v>-49514.96</v>
      </c>
      <c r="Q149" s="739">
        <f t="shared" si="21"/>
        <v>-49514.96</v>
      </c>
      <c r="R149" s="739">
        <f t="shared" si="21"/>
        <v>-438514.96</v>
      </c>
    </row>
    <row r="150" spans="2:18" ht="18" customHeight="1">
      <c r="B150" s="770"/>
      <c r="C150" s="744"/>
      <c r="D150" s="744"/>
      <c r="E150" s="744"/>
      <c r="F150" s="744"/>
      <c r="G150" s="744"/>
      <c r="H150" s="744"/>
      <c r="I150" s="744"/>
      <c r="J150" s="744"/>
      <c r="K150" s="744"/>
      <c r="L150" s="744"/>
      <c r="M150" s="744"/>
      <c r="N150" s="744"/>
      <c r="O150" s="744"/>
      <c r="P150" s="744"/>
      <c r="Q150" s="744"/>
      <c r="R150" s="744"/>
    </row>
    <row r="151" spans="2:18" ht="18" customHeight="1">
      <c r="B151" s="764" t="str">
        <f>Riepilogo!D60</f>
        <v>FVS S.G.R. S.p.A.</v>
      </c>
      <c r="C151" s="735"/>
      <c r="D151" s="735"/>
      <c r="E151" s="735"/>
      <c r="F151" s="735"/>
      <c r="G151" s="735"/>
      <c r="H151" s="748"/>
      <c r="I151" s="735"/>
      <c r="J151" s="735"/>
      <c r="K151" s="735"/>
      <c r="L151" s="735"/>
      <c r="M151" s="749"/>
      <c r="N151" s="749"/>
      <c r="O151" s="749"/>
      <c r="P151" s="749"/>
      <c r="Q151" s="749"/>
      <c r="R151" s="749"/>
    </row>
    <row r="152" spans="2:18" ht="18" customHeight="1">
      <c r="B152" s="765" t="s">
        <v>253</v>
      </c>
      <c r="C152" s="735"/>
      <c r="D152" s="735"/>
      <c r="E152" s="735"/>
      <c r="F152" s="735"/>
      <c r="G152" s="735"/>
      <c r="H152" s="735"/>
      <c r="I152" s="735"/>
      <c r="J152" s="735"/>
      <c r="K152" s="735"/>
      <c r="L152" s="735"/>
      <c r="M152" s="735"/>
      <c r="N152" s="735">
        <v>0</v>
      </c>
      <c r="O152" s="735">
        <v>0</v>
      </c>
      <c r="P152" s="735">
        <v>0</v>
      </c>
      <c r="Q152" s="735">
        <v>0</v>
      </c>
      <c r="R152" s="735">
        <v>0</v>
      </c>
    </row>
    <row r="153" spans="2:18" ht="18" customHeight="1">
      <c r="B153" s="766" t="s">
        <v>252</v>
      </c>
      <c r="C153" s="737"/>
      <c r="D153" s="737"/>
      <c r="E153" s="737"/>
      <c r="F153" s="754"/>
      <c r="G153" s="754"/>
      <c r="H153" s="754"/>
      <c r="I153" s="754"/>
      <c r="J153" s="754"/>
      <c r="K153" s="754"/>
      <c r="L153" s="754"/>
      <c r="M153" s="754"/>
      <c r="N153" s="754">
        <f>($D152+SUM($F152:N152))</f>
        <v>0</v>
      </c>
      <c r="O153" s="754">
        <f>($D152+SUM($F152:O152))</f>
        <v>0</v>
      </c>
      <c r="P153" s="754">
        <f>($D152+SUM($F152:P152))</f>
        <v>0</v>
      </c>
      <c r="Q153" s="754">
        <f>($D152+SUM($F152:Q152))</f>
        <v>0</v>
      </c>
      <c r="R153" s="754">
        <f>($D152+SUM($F152:R152))</f>
        <v>0</v>
      </c>
    </row>
    <row r="154" spans="2:18" ht="12" customHeight="1">
      <c r="B154" s="767"/>
      <c r="C154" s="740"/>
      <c r="D154" s="740"/>
      <c r="E154" s="740"/>
      <c r="F154" s="740"/>
      <c r="G154" s="740"/>
      <c r="H154" s="740"/>
      <c r="I154" s="740"/>
      <c r="J154" s="740"/>
      <c r="K154" s="742"/>
      <c r="L154" s="743"/>
      <c r="M154" s="743"/>
      <c r="N154" s="743"/>
      <c r="O154" s="743"/>
      <c r="P154" s="743"/>
      <c r="Q154" s="743"/>
      <c r="R154" s="743"/>
    </row>
    <row r="155" spans="2:18" ht="18" customHeight="1">
      <c r="B155" s="769" t="s">
        <v>557</v>
      </c>
      <c r="C155" s="735"/>
      <c r="D155" s="735"/>
      <c r="E155" s="735"/>
      <c r="F155" s="735"/>
      <c r="G155" s="735"/>
      <c r="H155" s="735"/>
      <c r="I155" s="735"/>
      <c r="J155" s="735"/>
      <c r="K155" s="735"/>
      <c r="L155" s="735"/>
      <c r="M155" s="735"/>
      <c r="N155" s="735">
        <v>0</v>
      </c>
      <c r="O155" s="735">
        <v>-175976.95999999996</v>
      </c>
      <c r="P155" s="735">
        <v>-197834.83</v>
      </c>
      <c r="Q155" s="735">
        <v>134069.82</v>
      </c>
      <c r="R155" s="735">
        <v>-63673.54</v>
      </c>
    </row>
    <row r="156" spans="2:18" ht="18" customHeight="1">
      <c r="B156" s="769" t="s">
        <v>251</v>
      </c>
      <c r="C156" s="735"/>
      <c r="D156" s="735"/>
      <c r="E156" s="735"/>
      <c r="F156" s="735"/>
      <c r="G156" s="735"/>
      <c r="H156" s="735"/>
      <c r="I156" s="735"/>
      <c r="J156" s="735"/>
      <c r="K156" s="735"/>
      <c r="L156" s="735"/>
      <c r="M156" s="735"/>
      <c r="N156" s="735">
        <v>0</v>
      </c>
      <c r="O156" s="735">
        <v>0</v>
      </c>
      <c r="P156" s="735">
        <v>0</v>
      </c>
      <c r="Q156" s="735">
        <v>0</v>
      </c>
      <c r="R156" s="735">
        <v>0</v>
      </c>
    </row>
    <row r="157" spans="2:18" ht="18" customHeight="1">
      <c r="B157" s="769" t="s">
        <v>225</v>
      </c>
      <c r="C157" s="735"/>
      <c r="D157" s="735"/>
      <c r="E157" s="738"/>
      <c r="F157" s="738"/>
      <c r="G157" s="738"/>
      <c r="H157" s="738"/>
      <c r="I157" s="738"/>
      <c r="J157" s="738"/>
      <c r="K157" s="738"/>
      <c r="L157" s="738"/>
      <c r="M157" s="738"/>
      <c r="N157" s="738">
        <v>0</v>
      </c>
      <c r="O157" s="738">
        <v>0</v>
      </c>
      <c r="P157" s="738">
        <v>0</v>
      </c>
      <c r="Q157" s="738">
        <v>0</v>
      </c>
      <c r="R157" s="738">
        <v>0</v>
      </c>
    </row>
    <row r="158" spans="2:18" ht="18" customHeight="1">
      <c r="B158" s="776" t="s">
        <v>559</v>
      </c>
      <c r="C158" s="737"/>
      <c r="D158" s="737"/>
      <c r="E158" s="737"/>
      <c r="F158" s="736"/>
      <c r="G158" s="736"/>
      <c r="H158" s="736"/>
      <c r="I158" s="736"/>
      <c r="J158" s="736"/>
      <c r="K158" s="736"/>
      <c r="L158" s="736"/>
      <c r="M158" s="736"/>
      <c r="N158" s="736">
        <f>SUM(N155:N157)</f>
        <v>0</v>
      </c>
      <c r="O158" s="736">
        <f>SUM(O155:O157)</f>
        <v>-175976.95999999996</v>
      </c>
      <c r="P158" s="736">
        <f>SUM(P155:P157)</f>
        <v>-197834.83</v>
      </c>
      <c r="Q158" s="736">
        <f>SUM(Q155:Q157)</f>
        <v>134069.82</v>
      </c>
      <c r="R158" s="736">
        <f>SUM(R155:R157)</f>
        <v>-63673.54</v>
      </c>
    </row>
    <row r="159" spans="2:18" ht="12" customHeight="1">
      <c r="B159" s="767"/>
      <c r="C159" s="740"/>
      <c r="D159" s="740"/>
      <c r="E159" s="740"/>
      <c r="F159" s="740"/>
      <c r="G159" s="740"/>
      <c r="H159" s="740"/>
      <c r="I159" s="740"/>
      <c r="J159" s="740"/>
      <c r="K159" s="742"/>
      <c r="L159" s="743"/>
      <c r="M159" s="743"/>
      <c r="N159" s="743"/>
      <c r="O159" s="743"/>
      <c r="P159" s="743"/>
      <c r="Q159" s="743"/>
      <c r="R159" s="743"/>
    </row>
    <row r="160" spans="2:18" ht="18" customHeight="1">
      <c r="B160" s="765" t="s">
        <v>556</v>
      </c>
      <c r="C160" s="735"/>
      <c r="D160" s="735"/>
      <c r="E160" s="735"/>
      <c r="F160" s="753"/>
      <c r="G160" s="753"/>
      <c r="H160" s="753"/>
      <c r="I160" s="753"/>
      <c r="J160" s="753"/>
      <c r="K160" s="753"/>
      <c r="L160" s="753"/>
      <c r="M160" s="753"/>
      <c r="N160" s="753">
        <f>M160+N158</f>
        <v>0</v>
      </c>
      <c r="O160" s="736">
        <f>N160+O158</f>
        <v>-175976.95999999996</v>
      </c>
      <c r="P160" s="736">
        <f>O160+P158</f>
        <v>-373811.7899999999</v>
      </c>
      <c r="Q160" s="736">
        <f>P160+Q158</f>
        <v>-239741.9699999999</v>
      </c>
      <c r="R160" s="736">
        <f>Q160+R158</f>
        <v>-303415.5099999999</v>
      </c>
    </row>
    <row r="161" spans="1:18" ht="18" customHeight="1" thickBot="1">
      <c r="A161" s="755"/>
      <c r="B161" s="770"/>
      <c r="C161" s="744"/>
      <c r="D161" s="744"/>
      <c r="E161" s="744"/>
      <c r="F161" s="744"/>
      <c r="G161" s="744"/>
      <c r="H161" s="744"/>
      <c r="I161" s="744"/>
      <c r="J161" s="744"/>
      <c r="K161" s="744"/>
      <c r="L161" s="744"/>
      <c r="M161" s="744"/>
      <c r="N161" s="744"/>
      <c r="O161" s="744"/>
      <c r="P161" s="744"/>
      <c r="Q161" s="744"/>
      <c r="R161" s="744"/>
    </row>
    <row r="162" spans="1:18" ht="18" customHeight="1" thickTop="1">
      <c r="A162" s="756"/>
      <c r="B162" s="764" t="str">
        <f>Riepilogo!D77</f>
        <v>Alpi Eagles S.p.A.</v>
      </c>
      <c r="C162" s="735"/>
      <c r="D162" s="735"/>
      <c r="E162" s="735"/>
      <c r="F162" s="735"/>
      <c r="G162" s="735"/>
      <c r="H162" s="748"/>
      <c r="I162" s="735"/>
      <c r="J162" s="735"/>
      <c r="K162" s="735"/>
      <c r="L162" s="735"/>
      <c r="M162" s="749"/>
      <c r="N162" s="749"/>
      <c r="O162" s="749"/>
      <c r="P162" s="749"/>
      <c r="Q162" s="749"/>
      <c r="R162" s="749"/>
    </row>
    <row r="163" spans="1:18" ht="18" customHeight="1">
      <c r="A163" s="758"/>
      <c r="B163" s="765" t="s">
        <v>253</v>
      </c>
      <c r="C163" s="735"/>
      <c r="D163" s="735"/>
      <c r="E163" s="735"/>
      <c r="F163" s="735">
        <v>0</v>
      </c>
      <c r="G163" s="735">
        <v>0</v>
      </c>
      <c r="H163" s="735">
        <v>0</v>
      </c>
      <c r="I163" s="735">
        <v>0</v>
      </c>
      <c r="J163" s="735">
        <v>0</v>
      </c>
      <c r="K163" s="735">
        <v>0</v>
      </c>
      <c r="L163" s="735">
        <v>0</v>
      </c>
      <c r="M163" s="735">
        <v>0</v>
      </c>
      <c r="N163" s="735">
        <v>0</v>
      </c>
      <c r="O163" s="735">
        <v>0</v>
      </c>
      <c r="P163" s="735">
        <v>0</v>
      </c>
      <c r="Q163" s="735">
        <v>0</v>
      </c>
      <c r="R163" s="735">
        <v>0</v>
      </c>
    </row>
    <row r="164" spans="1:18" ht="18" customHeight="1">
      <c r="A164" s="758"/>
      <c r="B164" s="766" t="s">
        <v>252</v>
      </c>
      <c r="C164" s="737"/>
      <c r="D164" s="737"/>
      <c r="E164" s="737"/>
      <c r="F164" s="754">
        <f>($D163+SUM($F163:F163))</f>
        <v>0</v>
      </c>
      <c r="G164" s="754">
        <f>($D163+SUM($F163:G163))</f>
        <v>0</v>
      </c>
      <c r="H164" s="754">
        <f>($D163+SUM($F163:H163))</f>
        <v>0</v>
      </c>
      <c r="I164" s="754">
        <f>($D163+SUM($F163:I163))</f>
        <v>0</v>
      </c>
      <c r="J164" s="754">
        <f>($D163+SUM($F163:J163))</f>
        <v>0</v>
      </c>
      <c r="K164" s="754">
        <f>($D163+SUM($F163:K163))</f>
        <v>0</v>
      </c>
      <c r="L164" s="754">
        <f>($D163+SUM($F163:L163))</f>
        <v>0</v>
      </c>
      <c r="M164" s="754">
        <f>($D163+SUM($F163:M163))</f>
        <v>0</v>
      </c>
      <c r="N164" s="754">
        <f>($D163+SUM($F163:N163))</f>
        <v>0</v>
      </c>
      <c r="O164" s="754">
        <f>($D163+SUM($F163:O163))</f>
        <v>0</v>
      </c>
      <c r="P164" s="754">
        <f>($D163+SUM($F163:P163))</f>
        <v>0</v>
      </c>
      <c r="Q164" s="754">
        <f>($D163+SUM($F163:Q163))</f>
        <v>0</v>
      </c>
      <c r="R164" s="754">
        <f>($D163+SUM($F163:R163))</f>
        <v>0</v>
      </c>
    </row>
    <row r="165" spans="1:18" ht="12" customHeight="1">
      <c r="A165" s="758"/>
      <c r="B165" s="767"/>
      <c r="C165" s="740"/>
      <c r="D165" s="740"/>
      <c r="E165" s="740"/>
      <c r="F165" s="740"/>
      <c r="G165" s="740"/>
      <c r="H165" s="740"/>
      <c r="I165" s="740"/>
      <c r="J165" s="740"/>
      <c r="K165" s="742"/>
      <c r="L165" s="743"/>
      <c r="M165" s="743"/>
      <c r="N165" s="743"/>
      <c r="O165" s="743"/>
      <c r="P165" s="743"/>
      <c r="Q165" s="743"/>
      <c r="R165" s="743"/>
    </row>
    <row r="166" spans="1:18" ht="18" customHeight="1">
      <c r="A166" s="758"/>
      <c r="B166" s="769" t="s">
        <v>557</v>
      </c>
      <c r="C166" s="735"/>
      <c r="D166" s="735"/>
      <c r="E166" s="735"/>
      <c r="F166" s="735">
        <v>0</v>
      </c>
      <c r="G166" s="735">
        <v>0</v>
      </c>
      <c r="H166" s="735">
        <v>0</v>
      </c>
      <c r="I166" s="735">
        <v>-200888</v>
      </c>
      <c r="J166" s="735">
        <v>0</v>
      </c>
      <c r="K166" s="735">
        <v>0</v>
      </c>
      <c r="L166" s="735">
        <v>0</v>
      </c>
      <c r="M166" s="735">
        <v>0</v>
      </c>
      <c r="N166" s="735">
        <v>0</v>
      </c>
      <c r="O166" s="735">
        <v>0</v>
      </c>
      <c r="P166" s="735">
        <v>0</v>
      </c>
      <c r="Q166" s="735">
        <v>0</v>
      </c>
      <c r="R166" s="735">
        <v>0</v>
      </c>
    </row>
    <row r="167" spans="1:18" ht="18" customHeight="1">
      <c r="A167" s="758"/>
      <c r="B167" s="769" t="s">
        <v>251</v>
      </c>
      <c r="C167" s="735"/>
      <c r="D167" s="735"/>
      <c r="E167" s="735"/>
      <c r="F167" s="735">
        <v>0</v>
      </c>
      <c r="G167" s="735">
        <v>0</v>
      </c>
      <c r="H167" s="735">
        <v>0</v>
      </c>
      <c r="I167" s="735">
        <v>0</v>
      </c>
      <c r="J167" s="735">
        <v>0</v>
      </c>
      <c r="K167" s="735">
        <v>0</v>
      </c>
      <c r="L167" s="735">
        <v>0</v>
      </c>
      <c r="M167" s="735">
        <v>0</v>
      </c>
      <c r="N167" s="735">
        <v>0</v>
      </c>
      <c r="O167" s="735">
        <v>0</v>
      </c>
      <c r="P167" s="735">
        <v>0</v>
      </c>
      <c r="Q167" s="735">
        <v>0</v>
      </c>
      <c r="R167" s="735">
        <v>0</v>
      </c>
    </row>
    <row r="168" spans="1:18" ht="18" customHeight="1">
      <c r="A168" s="758"/>
      <c r="B168" s="769" t="s">
        <v>225</v>
      </c>
      <c r="C168" s="735"/>
      <c r="D168" s="735"/>
      <c r="E168" s="738"/>
      <c r="F168" s="738">
        <v>0</v>
      </c>
      <c r="G168" s="738">
        <v>0</v>
      </c>
      <c r="H168" s="738">
        <v>0</v>
      </c>
      <c r="I168" s="738">
        <v>0</v>
      </c>
      <c r="J168" s="738">
        <v>0</v>
      </c>
      <c r="K168" s="738">
        <v>0</v>
      </c>
      <c r="L168" s="738">
        <v>0</v>
      </c>
      <c r="M168" s="738">
        <v>0</v>
      </c>
      <c r="N168" s="738">
        <v>0</v>
      </c>
      <c r="O168" s="738">
        <v>0</v>
      </c>
      <c r="P168" s="738">
        <v>0</v>
      </c>
      <c r="Q168" s="738">
        <v>0</v>
      </c>
      <c r="R168" s="738">
        <v>0</v>
      </c>
    </row>
    <row r="169" spans="1:18" ht="18" customHeight="1">
      <c r="A169" s="758"/>
      <c r="B169" s="772" t="s">
        <v>558</v>
      </c>
      <c r="C169" s="737"/>
      <c r="D169" s="737"/>
      <c r="E169" s="737"/>
      <c r="F169" s="736">
        <f>SUM(F166:F168)</f>
        <v>0</v>
      </c>
      <c r="G169" s="736">
        <f aca="true" t="shared" si="22" ref="G169:Q169">SUM(G166:G168)</f>
        <v>0</v>
      </c>
      <c r="H169" s="736">
        <f t="shared" si="22"/>
        <v>0</v>
      </c>
      <c r="I169" s="736">
        <f t="shared" si="22"/>
        <v>-200888</v>
      </c>
      <c r="J169" s="736">
        <f t="shared" si="22"/>
        <v>0</v>
      </c>
      <c r="K169" s="736">
        <f t="shared" si="22"/>
        <v>0</v>
      </c>
      <c r="L169" s="736">
        <f t="shared" si="22"/>
        <v>0</v>
      </c>
      <c r="M169" s="736">
        <f t="shared" si="22"/>
        <v>0</v>
      </c>
      <c r="N169" s="736">
        <f t="shared" si="22"/>
        <v>0</v>
      </c>
      <c r="O169" s="736">
        <f t="shared" si="22"/>
        <v>0</v>
      </c>
      <c r="P169" s="736">
        <f t="shared" si="22"/>
        <v>0</v>
      </c>
      <c r="Q169" s="736">
        <f t="shared" si="22"/>
        <v>0</v>
      </c>
      <c r="R169" s="736">
        <f>SUM(R166:R168)</f>
        <v>0</v>
      </c>
    </row>
    <row r="170" spans="1:18" ht="12" customHeight="1">
      <c r="A170" s="758"/>
      <c r="B170" s="767"/>
      <c r="C170" s="740"/>
      <c r="D170" s="740"/>
      <c r="E170" s="740"/>
      <c r="F170" s="740"/>
      <c r="G170" s="740"/>
      <c r="H170" s="740"/>
      <c r="I170" s="740"/>
      <c r="J170" s="740"/>
      <c r="K170" s="742"/>
      <c r="L170" s="743"/>
      <c r="M170" s="743"/>
      <c r="N170" s="743"/>
      <c r="O170" s="743"/>
      <c r="P170" s="743"/>
      <c r="Q170" s="743"/>
      <c r="R170" s="743"/>
    </row>
    <row r="171" spans="1:18" ht="18" customHeight="1">
      <c r="A171" s="758"/>
      <c r="B171" s="765" t="s">
        <v>556</v>
      </c>
      <c r="C171" s="735"/>
      <c r="D171" s="735"/>
      <c r="E171" s="735"/>
      <c r="F171" s="753">
        <f aca="true" t="shared" si="23" ref="F171:R171">E171+F169</f>
        <v>0</v>
      </c>
      <c r="G171" s="753">
        <f t="shared" si="23"/>
        <v>0</v>
      </c>
      <c r="H171" s="753">
        <f t="shared" si="23"/>
        <v>0</v>
      </c>
      <c r="I171" s="736">
        <f t="shared" si="23"/>
        <v>-200888</v>
      </c>
      <c r="J171" s="736">
        <f t="shared" si="23"/>
        <v>-200888</v>
      </c>
      <c r="K171" s="736">
        <f t="shared" si="23"/>
        <v>-200888</v>
      </c>
      <c r="L171" s="736">
        <f t="shared" si="23"/>
        <v>-200888</v>
      </c>
      <c r="M171" s="736">
        <f t="shared" si="23"/>
        <v>-200888</v>
      </c>
      <c r="N171" s="736">
        <f t="shared" si="23"/>
        <v>-200888</v>
      </c>
      <c r="O171" s="736">
        <f t="shared" si="23"/>
        <v>-200888</v>
      </c>
      <c r="P171" s="736">
        <f t="shared" si="23"/>
        <v>-200888</v>
      </c>
      <c r="Q171" s="736">
        <f t="shared" si="23"/>
        <v>-200888</v>
      </c>
      <c r="R171" s="736">
        <f t="shared" si="23"/>
        <v>-200888</v>
      </c>
    </row>
    <row r="172" spans="1:18" ht="18" customHeight="1" thickBot="1">
      <c r="A172" s="755"/>
      <c r="B172" s="770"/>
      <c r="C172" s="744"/>
      <c r="D172" s="744"/>
      <c r="E172" s="744"/>
      <c r="F172" s="744"/>
      <c r="G172" s="744"/>
      <c r="H172" s="744"/>
      <c r="I172" s="744"/>
      <c r="J172" s="744"/>
      <c r="K172" s="744"/>
      <c r="L172" s="744"/>
      <c r="M172" s="744"/>
      <c r="N172" s="744"/>
      <c r="O172" s="744"/>
      <c r="P172" s="744"/>
      <c r="Q172" s="744"/>
      <c r="R172" s="744"/>
    </row>
    <row r="173" spans="1:18" ht="18" customHeight="1" thickTop="1">
      <c r="A173" s="756"/>
      <c r="B173" s="764" t="str">
        <f>Riepilogo!D79</f>
        <v>Attiva S.p.A. in liquidazione </v>
      </c>
      <c r="C173" s="735"/>
      <c r="D173" s="735"/>
      <c r="E173" s="735"/>
      <c r="F173" s="735"/>
      <c r="G173" s="735"/>
      <c r="H173" s="748"/>
      <c r="I173" s="735"/>
      <c r="J173" s="735"/>
      <c r="K173" s="735"/>
      <c r="L173" s="735"/>
      <c r="M173" s="749"/>
      <c r="N173" s="749"/>
      <c r="O173" s="749"/>
      <c r="P173" s="749"/>
      <c r="Q173" s="749"/>
      <c r="R173" s="749"/>
    </row>
    <row r="174" spans="2:18" ht="18" customHeight="1">
      <c r="B174" s="765" t="s">
        <v>253</v>
      </c>
      <c r="C174" s="735"/>
      <c r="D174" s="735"/>
      <c r="E174" s="735"/>
      <c r="F174" s="735">
        <v>0</v>
      </c>
      <c r="G174" s="735">
        <v>0</v>
      </c>
      <c r="H174" s="735">
        <v>0</v>
      </c>
      <c r="I174" s="735">
        <v>0</v>
      </c>
      <c r="J174" s="735">
        <v>0</v>
      </c>
      <c r="K174" s="735">
        <v>0</v>
      </c>
      <c r="L174" s="735">
        <v>0</v>
      </c>
      <c r="M174" s="735">
        <v>0</v>
      </c>
      <c r="N174" s="735">
        <v>0</v>
      </c>
      <c r="O174" s="735">
        <v>0</v>
      </c>
      <c r="P174" s="735">
        <v>0</v>
      </c>
      <c r="Q174" s="735">
        <v>0</v>
      </c>
      <c r="R174" s="735">
        <v>0</v>
      </c>
    </row>
    <row r="175" spans="2:18" ht="18" customHeight="1">
      <c r="B175" s="766" t="s">
        <v>252</v>
      </c>
      <c r="C175" s="737"/>
      <c r="D175" s="737"/>
      <c r="E175" s="737"/>
      <c r="F175" s="754">
        <f>($D174+SUM($F174:F174))</f>
        <v>0</v>
      </c>
      <c r="G175" s="754">
        <f>($D174+SUM($F174:G174))</f>
        <v>0</v>
      </c>
      <c r="H175" s="754">
        <f>($D174+SUM($F174:H174))</f>
        <v>0</v>
      </c>
      <c r="I175" s="754">
        <f>($D174+SUM($F174:I174))</f>
        <v>0</v>
      </c>
      <c r="J175" s="754">
        <f>($D174+SUM($F174:J174))</f>
        <v>0</v>
      </c>
      <c r="K175" s="754">
        <f>($D174+SUM($F174:K174))</f>
        <v>0</v>
      </c>
      <c r="L175" s="754">
        <f>($D174+SUM($F174:L174))</f>
        <v>0</v>
      </c>
      <c r="M175" s="754">
        <f>($D174+SUM($F174:M174))</f>
        <v>0</v>
      </c>
      <c r="N175" s="754">
        <f>($D174+SUM($F174:N174))</f>
        <v>0</v>
      </c>
      <c r="O175" s="754">
        <f>($D174+SUM($F174:O174))</f>
        <v>0</v>
      </c>
      <c r="P175" s="754">
        <f>($D174+SUM($F174:P174))</f>
        <v>0</v>
      </c>
      <c r="Q175" s="754">
        <f>($D174+SUM($F174:Q174))</f>
        <v>0</v>
      </c>
      <c r="R175" s="754">
        <f>($D174+SUM($F174:R174))</f>
        <v>0</v>
      </c>
    </row>
    <row r="176" spans="2:18" ht="12" customHeight="1">
      <c r="B176" s="767"/>
      <c r="C176" s="740"/>
      <c r="D176" s="740"/>
      <c r="E176" s="740"/>
      <c r="F176" s="740"/>
      <c r="G176" s="740"/>
      <c r="H176" s="740"/>
      <c r="I176" s="740"/>
      <c r="J176" s="740"/>
      <c r="K176" s="742"/>
      <c r="L176" s="743"/>
      <c r="M176" s="743"/>
      <c r="N176" s="743"/>
      <c r="O176" s="743"/>
      <c r="P176" s="743"/>
      <c r="Q176" s="743"/>
      <c r="R176" s="743"/>
    </row>
    <row r="177" spans="2:18" ht="18" customHeight="1">
      <c r="B177" s="769" t="s">
        <v>557</v>
      </c>
      <c r="C177" s="735"/>
      <c r="D177" s="735"/>
      <c r="E177" s="735"/>
      <c r="F177" s="735">
        <v>0</v>
      </c>
      <c r="G177" s="735">
        <v>0</v>
      </c>
      <c r="H177" s="735">
        <v>0</v>
      </c>
      <c r="I177" s="735">
        <v>0</v>
      </c>
      <c r="J177" s="735">
        <v>-5023210.28</v>
      </c>
      <c r="K177" s="735">
        <v>0</v>
      </c>
      <c r="L177" s="735">
        <v>0</v>
      </c>
      <c r="M177" s="735">
        <v>-277224.22</v>
      </c>
      <c r="N177" s="735">
        <v>-219417.18</v>
      </c>
      <c r="O177" s="735">
        <v>0</v>
      </c>
      <c r="P177" s="735">
        <v>0</v>
      </c>
      <c r="Q177" s="735">
        <v>0</v>
      </c>
      <c r="R177" s="735">
        <v>0</v>
      </c>
    </row>
    <row r="178" spans="2:18" ht="18" customHeight="1">
      <c r="B178" s="769" t="s">
        <v>251</v>
      </c>
      <c r="C178" s="735"/>
      <c r="D178" s="735"/>
      <c r="E178" s="735"/>
      <c r="F178" s="735">
        <v>0</v>
      </c>
      <c r="G178" s="735">
        <v>0</v>
      </c>
      <c r="H178" s="735">
        <v>0</v>
      </c>
      <c r="I178" s="735">
        <v>0</v>
      </c>
      <c r="J178" s="735">
        <v>0</v>
      </c>
      <c r="K178" s="735">
        <v>0</v>
      </c>
      <c r="L178" s="735">
        <v>0</v>
      </c>
      <c r="M178" s="735">
        <v>0</v>
      </c>
      <c r="N178" s="735">
        <v>0</v>
      </c>
      <c r="O178" s="735">
        <v>0</v>
      </c>
      <c r="P178" s="735">
        <v>0</v>
      </c>
      <c r="Q178" s="735">
        <v>0</v>
      </c>
      <c r="R178" s="735">
        <v>0</v>
      </c>
    </row>
    <row r="179" spans="2:18" ht="18" customHeight="1">
      <c r="B179" s="769" t="s">
        <v>225</v>
      </c>
      <c r="C179" s="735"/>
      <c r="D179" s="735"/>
      <c r="E179" s="738"/>
      <c r="F179" s="738">
        <v>0</v>
      </c>
      <c r="G179" s="738">
        <v>0</v>
      </c>
      <c r="H179" s="738">
        <v>0</v>
      </c>
      <c r="I179" s="738">
        <v>0</v>
      </c>
      <c r="J179" s="738">
        <v>0</v>
      </c>
      <c r="K179" s="738">
        <v>0</v>
      </c>
      <c r="L179" s="738">
        <v>0</v>
      </c>
      <c r="M179" s="738">
        <v>0</v>
      </c>
      <c r="N179" s="738">
        <v>0</v>
      </c>
      <c r="O179" s="738">
        <v>0</v>
      </c>
      <c r="P179" s="738">
        <v>0</v>
      </c>
      <c r="Q179" s="738">
        <v>0</v>
      </c>
      <c r="R179" s="738">
        <v>0</v>
      </c>
    </row>
    <row r="180" spans="2:18" ht="18" customHeight="1">
      <c r="B180" s="776" t="s">
        <v>559</v>
      </c>
      <c r="C180" s="737"/>
      <c r="D180" s="737"/>
      <c r="E180" s="737"/>
      <c r="F180" s="736">
        <f>SUM(F177:F179)</f>
        <v>0</v>
      </c>
      <c r="G180" s="736">
        <f aca="true" t="shared" si="24" ref="G180:Q180">SUM(G177:G179)</f>
        <v>0</v>
      </c>
      <c r="H180" s="736">
        <f t="shared" si="24"/>
        <v>0</v>
      </c>
      <c r="I180" s="736">
        <f t="shared" si="24"/>
        <v>0</v>
      </c>
      <c r="J180" s="736">
        <f t="shared" si="24"/>
        <v>-5023210.28</v>
      </c>
      <c r="K180" s="736">
        <f t="shared" si="24"/>
        <v>0</v>
      </c>
      <c r="L180" s="736">
        <f t="shared" si="24"/>
        <v>0</v>
      </c>
      <c r="M180" s="736">
        <f t="shared" si="24"/>
        <v>-277224.22</v>
      </c>
      <c r="N180" s="736">
        <f t="shared" si="24"/>
        <v>-219417.18</v>
      </c>
      <c r="O180" s="736">
        <f t="shared" si="24"/>
        <v>0</v>
      </c>
      <c r="P180" s="736">
        <f t="shared" si="24"/>
        <v>0</v>
      </c>
      <c r="Q180" s="736">
        <f t="shared" si="24"/>
        <v>0</v>
      </c>
      <c r="R180" s="736">
        <f>SUM(R177:R179)</f>
        <v>0</v>
      </c>
    </row>
    <row r="181" spans="2:18" ht="12" customHeight="1">
      <c r="B181" s="767"/>
      <c r="C181" s="740"/>
      <c r="D181" s="740"/>
      <c r="E181" s="740"/>
      <c r="F181" s="740"/>
      <c r="G181" s="740"/>
      <c r="H181" s="740"/>
      <c r="I181" s="740"/>
      <c r="J181" s="740"/>
      <c r="K181" s="742"/>
      <c r="L181" s="743"/>
      <c r="M181" s="743"/>
      <c r="N181" s="743"/>
      <c r="O181" s="743"/>
      <c r="P181" s="743"/>
      <c r="Q181" s="743"/>
      <c r="R181" s="743"/>
    </row>
    <row r="182" spans="2:18" ht="18" customHeight="1">
      <c r="B182" s="765" t="s">
        <v>556</v>
      </c>
      <c r="C182" s="735"/>
      <c r="D182" s="735"/>
      <c r="E182" s="735"/>
      <c r="F182" s="753">
        <f aca="true" t="shared" si="25" ref="F182:R182">E182+F180</f>
        <v>0</v>
      </c>
      <c r="G182" s="753">
        <f t="shared" si="25"/>
        <v>0</v>
      </c>
      <c r="H182" s="753">
        <f t="shared" si="25"/>
        <v>0</v>
      </c>
      <c r="I182" s="753">
        <f t="shared" si="25"/>
        <v>0</v>
      </c>
      <c r="J182" s="736">
        <f t="shared" si="25"/>
        <v>-5023210.28</v>
      </c>
      <c r="K182" s="736">
        <f t="shared" si="25"/>
        <v>-5023210.28</v>
      </c>
      <c r="L182" s="736">
        <f t="shared" si="25"/>
        <v>-5023210.28</v>
      </c>
      <c r="M182" s="736">
        <f t="shared" si="25"/>
        <v>-5300434.5</v>
      </c>
      <c r="N182" s="736">
        <f t="shared" si="25"/>
        <v>-5519851.68</v>
      </c>
      <c r="O182" s="736">
        <f t="shared" si="25"/>
        <v>-5519851.68</v>
      </c>
      <c r="P182" s="736">
        <f t="shared" si="25"/>
        <v>-5519851.68</v>
      </c>
      <c r="Q182" s="736">
        <f t="shared" si="25"/>
        <v>-5519851.68</v>
      </c>
      <c r="R182" s="736">
        <f t="shared" si="25"/>
        <v>-5519851.68</v>
      </c>
    </row>
    <row r="183" spans="2:18" ht="18" customHeight="1">
      <c r="B183" s="770"/>
      <c r="C183" s="744"/>
      <c r="D183" s="744"/>
      <c r="E183" s="744"/>
      <c r="F183" s="744"/>
      <c r="G183" s="744"/>
      <c r="H183" s="744"/>
      <c r="I183" s="744"/>
      <c r="J183" s="744"/>
      <c r="K183" s="744"/>
      <c r="L183" s="744"/>
      <c r="M183" s="744"/>
      <c r="N183" s="744"/>
      <c r="O183" s="744"/>
      <c r="P183" s="744"/>
      <c r="Q183" s="744"/>
      <c r="R183" s="744"/>
    </row>
    <row r="184" spans="2:18" ht="18" customHeight="1">
      <c r="B184" s="764" t="str">
        <f>Riepilogo!D87</f>
        <v>Compagnia Investimenti e Sviluppo - C.I.S. S.p.A.</v>
      </c>
      <c r="C184" s="735"/>
      <c r="D184" s="735"/>
      <c r="E184" s="735"/>
      <c r="F184" s="735"/>
      <c r="G184" s="735"/>
      <c r="H184" s="748"/>
      <c r="I184" s="735"/>
      <c r="J184" s="735"/>
      <c r="K184" s="735"/>
      <c r="L184" s="735"/>
      <c r="M184" s="749"/>
      <c r="N184" s="749"/>
      <c r="O184" s="749"/>
      <c r="P184" s="749"/>
      <c r="Q184" s="749"/>
      <c r="R184" s="749"/>
    </row>
    <row r="185" spans="2:18" ht="18" customHeight="1">
      <c r="B185" s="765" t="s">
        <v>253</v>
      </c>
      <c r="C185" s="735"/>
      <c r="D185" s="735"/>
      <c r="E185" s="735"/>
      <c r="F185" s="735"/>
      <c r="G185" s="735"/>
      <c r="H185" s="735"/>
      <c r="I185" s="735"/>
      <c r="J185" s="735"/>
      <c r="K185" s="735">
        <v>0</v>
      </c>
      <c r="L185" s="735">
        <v>0</v>
      </c>
      <c r="M185" s="735">
        <v>0</v>
      </c>
      <c r="N185" s="735">
        <v>0</v>
      </c>
      <c r="O185" s="735">
        <v>0</v>
      </c>
      <c r="P185" s="735">
        <v>0</v>
      </c>
      <c r="Q185" s="735">
        <v>0</v>
      </c>
      <c r="R185" s="735">
        <v>0</v>
      </c>
    </row>
    <row r="186" spans="2:18" ht="18" customHeight="1">
      <c r="B186" s="766" t="s">
        <v>252</v>
      </c>
      <c r="C186" s="737"/>
      <c r="D186" s="737"/>
      <c r="E186" s="737"/>
      <c r="F186" s="754"/>
      <c r="G186" s="754"/>
      <c r="H186" s="754"/>
      <c r="I186" s="754"/>
      <c r="J186" s="754"/>
      <c r="K186" s="754">
        <f>($D185+SUM($F185:K185))</f>
        <v>0</v>
      </c>
      <c r="L186" s="754">
        <f>($D185+SUM($F185:L185))</f>
        <v>0</v>
      </c>
      <c r="M186" s="754">
        <f>($D185+SUM($F185:M185))</f>
        <v>0</v>
      </c>
      <c r="N186" s="754">
        <f>($D185+SUM($F185:N185))</f>
        <v>0</v>
      </c>
      <c r="O186" s="754">
        <f>($D185+SUM($F185:O185))</f>
        <v>0</v>
      </c>
      <c r="P186" s="754">
        <f>($D185+SUM($F185:P185))</f>
        <v>0</v>
      </c>
      <c r="Q186" s="754">
        <f>($D185+SUM($F185:Q185))</f>
        <v>0</v>
      </c>
      <c r="R186" s="754">
        <f>($D185+SUM($F185:R185))</f>
        <v>0</v>
      </c>
    </row>
    <row r="187" spans="2:18" ht="12" customHeight="1">
      <c r="B187" s="767"/>
      <c r="C187" s="740"/>
      <c r="D187" s="740"/>
      <c r="E187" s="740"/>
      <c r="F187" s="740"/>
      <c r="G187" s="740"/>
      <c r="H187" s="740"/>
      <c r="I187" s="740"/>
      <c r="J187" s="740"/>
      <c r="K187" s="742"/>
      <c r="L187" s="743"/>
      <c r="M187" s="743"/>
      <c r="N187" s="743"/>
      <c r="O187" s="743"/>
      <c r="P187" s="743"/>
      <c r="Q187" s="743"/>
      <c r="R187" s="743"/>
    </row>
    <row r="188" spans="2:18" ht="18" customHeight="1">
      <c r="B188" s="769" t="s">
        <v>557</v>
      </c>
      <c r="C188" s="735"/>
      <c r="D188" s="735"/>
      <c r="E188" s="735"/>
      <c r="F188" s="735"/>
      <c r="G188" s="735"/>
      <c r="H188" s="735"/>
      <c r="I188" s="735"/>
      <c r="J188" s="735"/>
      <c r="K188" s="735">
        <v>0</v>
      </c>
      <c r="L188" s="735">
        <v>0</v>
      </c>
      <c r="M188" s="735">
        <v>-4363309.89</v>
      </c>
      <c r="N188" s="735">
        <v>0</v>
      </c>
      <c r="O188" s="735">
        <v>0</v>
      </c>
      <c r="P188" s="735">
        <v>0</v>
      </c>
      <c r="Q188" s="735">
        <v>0</v>
      </c>
      <c r="R188" s="735">
        <v>0</v>
      </c>
    </row>
    <row r="189" spans="2:18" ht="18" customHeight="1">
      <c r="B189" s="769" t="s">
        <v>251</v>
      </c>
      <c r="C189" s="735"/>
      <c r="D189" s="735"/>
      <c r="E189" s="735"/>
      <c r="F189" s="735"/>
      <c r="G189" s="735"/>
      <c r="H189" s="735"/>
      <c r="I189" s="735"/>
      <c r="J189" s="735"/>
      <c r="K189" s="735">
        <v>0</v>
      </c>
      <c r="L189" s="735">
        <v>0</v>
      </c>
      <c r="M189" s="735">
        <v>0</v>
      </c>
      <c r="N189" s="735">
        <v>0</v>
      </c>
      <c r="O189" s="735">
        <v>0</v>
      </c>
      <c r="P189" s="735">
        <v>0</v>
      </c>
      <c r="Q189" s="735">
        <v>0</v>
      </c>
      <c r="R189" s="735">
        <v>0</v>
      </c>
    </row>
    <row r="190" spans="2:18" ht="18" customHeight="1">
      <c r="B190" s="769" t="s">
        <v>225</v>
      </c>
      <c r="C190" s="735"/>
      <c r="D190" s="735"/>
      <c r="E190" s="738"/>
      <c r="F190" s="738"/>
      <c r="G190" s="738"/>
      <c r="H190" s="738"/>
      <c r="I190" s="738"/>
      <c r="J190" s="738"/>
      <c r="K190" s="738">
        <v>0</v>
      </c>
      <c r="L190" s="738">
        <v>0</v>
      </c>
      <c r="M190" s="738">
        <v>0</v>
      </c>
      <c r="N190" s="738">
        <v>0</v>
      </c>
      <c r="O190" s="738">
        <v>0</v>
      </c>
      <c r="P190" s="738">
        <v>0</v>
      </c>
      <c r="Q190" s="738">
        <v>0</v>
      </c>
      <c r="R190" s="738">
        <v>0</v>
      </c>
    </row>
    <row r="191" spans="2:18" ht="18" customHeight="1">
      <c r="B191" s="776" t="s">
        <v>559</v>
      </c>
      <c r="C191" s="737"/>
      <c r="D191" s="737"/>
      <c r="E191" s="737"/>
      <c r="F191" s="736"/>
      <c r="G191" s="736"/>
      <c r="H191" s="736"/>
      <c r="I191" s="736"/>
      <c r="J191" s="736"/>
      <c r="K191" s="736">
        <f>SUM(K188:K190)</f>
        <v>0</v>
      </c>
      <c r="L191" s="736">
        <f aca="true" t="shared" si="26" ref="L191:Q191">SUM(L188:L190)</f>
        <v>0</v>
      </c>
      <c r="M191" s="736">
        <f t="shared" si="26"/>
        <v>-4363309.89</v>
      </c>
      <c r="N191" s="736">
        <f t="shared" si="26"/>
        <v>0</v>
      </c>
      <c r="O191" s="736">
        <f t="shared" si="26"/>
        <v>0</v>
      </c>
      <c r="P191" s="736">
        <f t="shared" si="26"/>
        <v>0</v>
      </c>
      <c r="Q191" s="736">
        <f t="shared" si="26"/>
        <v>0</v>
      </c>
      <c r="R191" s="736">
        <f>SUM(R188:R190)</f>
        <v>0</v>
      </c>
    </row>
    <row r="192" spans="2:18" ht="12" customHeight="1">
      <c r="B192" s="767"/>
      <c r="C192" s="740"/>
      <c r="D192" s="740"/>
      <c r="E192" s="740"/>
      <c r="F192" s="740"/>
      <c r="G192" s="740"/>
      <c r="H192" s="740"/>
      <c r="I192" s="740"/>
      <c r="J192" s="740"/>
      <c r="K192" s="742"/>
      <c r="L192" s="743"/>
      <c r="M192" s="743"/>
      <c r="N192" s="743"/>
      <c r="O192" s="743"/>
      <c r="P192" s="743"/>
      <c r="Q192" s="743"/>
      <c r="R192" s="743"/>
    </row>
    <row r="193" spans="2:18" ht="18" customHeight="1">
      <c r="B193" s="765" t="s">
        <v>556</v>
      </c>
      <c r="C193" s="735"/>
      <c r="D193" s="735"/>
      <c r="E193" s="735"/>
      <c r="F193" s="753"/>
      <c r="G193" s="753"/>
      <c r="H193" s="753"/>
      <c r="I193" s="753"/>
      <c r="J193" s="753"/>
      <c r="K193" s="753">
        <f aca="true" t="shared" si="27" ref="K193:R193">J193+K191</f>
        <v>0</v>
      </c>
      <c r="L193" s="753">
        <f t="shared" si="27"/>
        <v>0</v>
      </c>
      <c r="M193" s="736">
        <f t="shared" si="27"/>
        <v>-4363309.89</v>
      </c>
      <c r="N193" s="736">
        <f t="shared" si="27"/>
        <v>-4363309.89</v>
      </c>
      <c r="O193" s="736">
        <f t="shared" si="27"/>
        <v>-4363309.89</v>
      </c>
      <c r="P193" s="736">
        <f t="shared" si="27"/>
        <v>-4363309.89</v>
      </c>
      <c r="Q193" s="736">
        <f t="shared" si="27"/>
        <v>-4363309.89</v>
      </c>
      <c r="R193" s="736">
        <f t="shared" si="27"/>
        <v>-4363309.89</v>
      </c>
    </row>
    <row r="194" spans="1:18" ht="18" customHeight="1" thickBot="1">
      <c r="A194" s="755"/>
      <c r="B194" s="770"/>
      <c r="C194" s="744"/>
      <c r="D194" s="744"/>
      <c r="E194" s="744"/>
      <c r="F194" s="744"/>
      <c r="G194" s="744"/>
      <c r="H194" s="744"/>
      <c r="I194" s="744"/>
      <c r="J194" s="744"/>
      <c r="K194" s="744"/>
      <c r="L194" s="744"/>
      <c r="M194" s="744"/>
      <c r="N194" s="744"/>
      <c r="O194" s="744"/>
      <c r="P194" s="744"/>
      <c r="Q194" s="744"/>
      <c r="R194" s="744"/>
    </row>
    <row r="195" spans="1:18" ht="18" customHeight="1" thickTop="1">
      <c r="A195" s="756"/>
      <c r="B195" s="764" t="s">
        <v>64</v>
      </c>
      <c r="C195" s="735"/>
      <c r="D195" s="735"/>
      <c r="E195" s="735"/>
      <c r="F195" s="735"/>
      <c r="G195" s="735"/>
      <c r="H195" s="748"/>
      <c r="I195" s="735"/>
      <c r="J195" s="735"/>
      <c r="K195" s="735"/>
      <c r="L195" s="735"/>
      <c r="M195" s="749"/>
      <c r="N195" s="749"/>
      <c r="O195" s="749"/>
      <c r="P195" s="749"/>
      <c r="Q195" s="749"/>
      <c r="R195" s="749"/>
    </row>
    <row r="196" spans="1:18" ht="18" customHeight="1">
      <c r="A196" s="758"/>
      <c r="B196" s="765" t="s">
        <v>253</v>
      </c>
      <c r="C196" s="735"/>
      <c r="D196" s="735"/>
      <c r="E196" s="735"/>
      <c r="F196" s="735">
        <v>0</v>
      </c>
      <c r="G196" s="735">
        <v>0</v>
      </c>
      <c r="H196" s="735">
        <v>0</v>
      </c>
      <c r="I196" s="735">
        <v>0</v>
      </c>
      <c r="J196" s="735">
        <v>0</v>
      </c>
      <c r="K196" s="735">
        <v>0</v>
      </c>
      <c r="L196" s="735">
        <v>0</v>
      </c>
      <c r="M196" s="735">
        <v>0</v>
      </c>
      <c r="N196" s="735">
        <v>0</v>
      </c>
      <c r="O196" s="735">
        <v>0</v>
      </c>
      <c r="P196" s="735">
        <v>0</v>
      </c>
      <c r="Q196" s="735">
        <v>0</v>
      </c>
      <c r="R196" s="735">
        <v>0</v>
      </c>
    </row>
    <row r="197" spans="1:18" ht="18" customHeight="1">
      <c r="A197" s="758"/>
      <c r="B197" s="766" t="s">
        <v>252</v>
      </c>
      <c r="C197" s="737"/>
      <c r="D197" s="737"/>
      <c r="E197" s="737"/>
      <c r="F197" s="754">
        <f>($D196+SUM($F196:F196))</f>
        <v>0</v>
      </c>
      <c r="G197" s="754">
        <f>($D196+SUM($F196:G196))</f>
        <v>0</v>
      </c>
      <c r="H197" s="754">
        <f>($D196+SUM($F196:H196))</f>
        <v>0</v>
      </c>
      <c r="I197" s="754">
        <f>($D196+SUM($F196:I196))</f>
        <v>0</v>
      </c>
      <c r="J197" s="754">
        <f>($D196+SUM($F196:J196))</f>
        <v>0</v>
      </c>
      <c r="K197" s="754">
        <f>($D196+SUM($F196:K196))</f>
        <v>0</v>
      </c>
      <c r="L197" s="754">
        <f>($D196+SUM($F196:L196))</f>
        <v>0</v>
      </c>
      <c r="M197" s="754">
        <f>($D196+SUM($F196:M196))</f>
        <v>0</v>
      </c>
      <c r="N197" s="754">
        <f>($D196+SUM($F196:N196))</f>
        <v>0</v>
      </c>
      <c r="O197" s="754">
        <f>($D196+SUM($F196:O196))</f>
        <v>0</v>
      </c>
      <c r="P197" s="754">
        <f>($D196+SUM($F196:P196))</f>
        <v>0</v>
      </c>
      <c r="Q197" s="754">
        <f>($D196+SUM($F196:Q196))</f>
        <v>0</v>
      </c>
      <c r="R197" s="754">
        <f>($D196+SUM($F196:R196))</f>
        <v>0</v>
      </c>
    </row>
    <row r="198" spans="1:18" ht="12" customHeight="1">
      <c r="A198" s="758"/>
      <c r="B198" s="767"/>
      <c r="C198" s="740"/>
      <c r="D198" s="740"/>
      <c r="E198" s="740"/>
      <c r="F198" s="740"/>
      <c r="G198" s="740"/>
      <c r="H198" s="740"/>
      <c r="I198" s="740"/>
      <c r="J198" s="740"/>
      <c r="K198" s="742"/>
      <c r="L198" s="743"/>
      <c r="M198" s="743"/>
      <c r="N198" s="743"/>
      <c r="O198" s="743"/>
      <c r="P198" s="743"/>
      <c r="Q198" s="743"/>
      <c r="R198" s="743"/>
    </row>
    <row r="199" spans="1:18" ht="18" customHeight="1">
      <c r="A199" s="758"/>
      <c r="B199" s="769" t="s">
        <v>557</v>
      </c>
      <c r="C199" s="735"/>
      <c r="D199" s="735"/>
      <c r="E199" s="735"/>
      <c r="F199" s="735">
        <v>0</v>
      </c>
      <c r="G199" s="735">
        <v>0</v>
      </c>
      <c r="H199" s="735">
        <v>0</v>
      </c>
      <c r="I199" s="735">
        <v>0</v>
      </c>
      <c r="J199" s="735">
        <v>0</v>
      </c>
      <c r="K199" s="735">
        <v>0</v>
      </c>
      <c r="L199" s="735">
        <v>0</v>
      </c>
      <c r="M199" s="735">
        <v>-14999</v>
      </c>
      <c r="N199" s="735">
        <v>0</v>
      </c>
      <c r="O199" s="735">
        <v>0</v>
      </c>
      <c r="P199" s="735">
        <v>0</v>
      </c>
      <c r="Q199" s="735">
        <v>0</v>
      </c>
      <c r="R199" s="735">
        <v>0</v>
      </c>
    </row>
    <row r="200" spans="1:18" ht="18" customHeight="1">
      <c r="A200" s="758"/>
      <c r="B200" s="769" t="s">
        <v>251</v>
      </c>
      <c r="C200" s="735"/>
      <c r="D200" s="735"/>
      <c r="E200" s="735"/>
      <c r="F200" s="735">
        <v>0</v>
      </c>
      <c r="G200" s="735">
        <v>0</v>
      </c>
      <c r="H200" s="735">
        <v>0</v>
      </c>
      <c r="I200" s="735">
        <v>0</v>
      </c>
      <c r="J200" s="735">
        <v>0</v>
      </c>
      <c r="K200" s="735">
        <v>0</v>
      </c>
      <c r="L200" s="735">
        <v>0</v>
      </c>
      <c r="M200" s="735">
        <v>0</v>
      </c>
      <c r="N200" s="735">
        <v>0</v>
      </c>
      <c r="O200" s="735">
        <v>0</v>
      </c>
      <c r="P200" s="735">
        <v>0</v>
      </c>
      <c r="Q200" s="735">
        <v>0</v>
      </c>
      <c r="R200" s="735">
        <v>0</v>
      </c>
    </row>
    <row r="201" spans="1:18" ht="18" customHeight="1">
      <c r="A201" s="758"/>
      <c r="B201" s="769" t="s">
        <v>225</v>
      </c>
      <c r="C201" s="735"/>
      <c r="D201" s="735"/>
      <c r="E201" s="738"/>
      <c r="F201" s="738">
        <v>0</v>
      </c>
      <c r="G201" s="738">
        <v>0</v>
      </c>
      <c r="H201" s="738">
        <v>0</v>
      </c>
      <c r="I201" s="738">
        <v>0</v>
      </c>
      <c r="J201" s="738">
        <v>0</v>
      </c>
      <c r="K201" s="738">
        <v>0</v>
      </c>
      <c r="L201" s="738">
        <v>0</v>
      </c>
      <c r="M201" s="738">
        <v>0</v>
      </c>
      <c r="N201" s="738">
        <v>0</v>
      </c>
      <c r="O201" s="738">
        <v>0</v>
      </c>
      <c r="P201" s="738">
        <v>0</v>
      </c>
      <c r="Q201" s="738">
        <v>0</v>
      </c>
      <c r="R201" s="738">
        <v>0</v>
      </c>
    </row>
    <row r="202" spans="1:18" ht="18" customHeight="1">
      <c r="A202" s="758"/>
      <c r="B202" s="772" t="s">
        <v>558</v>
      </c>
      <c r="C202" s="737"/>
      <c r="D202" s="737"/>
      <c r="E202" s="737"/>
      <c r="F202" s="736">
        <f>SUM(F199:F201)</f>
        <v>0</v>
      </c>
      <c r="G202" s="736">
        <f aca="true" t="shared" si="28" ref="G202:Q202">SUM(G199:G201)</f>
        <v>0</v>
      </c>
      <c r="H202" s="736">
        <f t="shared" si="28"/>
        <v>0</v>
      </c>
      <c r="I202" s="736">
        <f t="shared" si="28"/>
        <v>0</v>
      </c>
      <c r="J202" s="736">
        <f t="shared" si="28"/>
        <v>0</v>
      </c>
      <c r="K202" s="736">
        <f t="shared" si="28"/>
        <v>0</v>
      </c>
      <c r="L202" s="736">
        <f t="shared" si="28"/>
        <v>0</v>
      </c>
      <c r="M202" s="736">
        <f t="shared" si="28"/>
        <v>-14999</v>
      </c>
      <c r="N202" s="736">
        <f t="shared" si="28"/>
        <v>0</v>
      </c>
      <c r="O202" s="736">
        <f t="shared" si="28"/>
        <v>0</v>
      </c>
      <c r="P202" s="736">
        <f t="shared" si="28"/>
        <v>0</v>
      </c>
      <c r="Q202" s="736">
        <f t="shared" si="28"/>
        <v>0</v>
      </c>
      <c r="R202" s="736">
        <f>SUM(R199:R201)</f>
        <v>0</v>
      </c>
    </row>
    <row r="203" spans="1:18" ht="12" customHeight="1">
      <c r="A203" s="758"/>
      <c r="B203" s="767"/>
      <c r="C203" s="740"/>
      <c r="D203" s="740"/>
      <c r="E203" s="740"/>
      <c r="F203" s="740"/>
      <c r="G203" s="740"/>
      <c r="H203" s="740"/>
      <c r="I203" s="740"/>
      <c r="J203" s="740"/>
      <c r="K203" s="742"/>
      <c r="L203" s="743"/>
      <c r="M203" s="743"/>
      <c r="N203" s="743"/>
      <c r="O203" s="743"/>
      <c r="P203" s="743"/>
      <c r="Q203" s="743"/>
      <c r="R203" s="743"/>
    </row>
    <row r="204" spans="1:18" ht="18" customHeight="1">
      <c r="A204" s="758"/>
      <c r="B204" s="765" t="s">
        <v>556</v>
      </c>
      <c r="C204" s="735"/>
      <c r="D204" s="735"/>
      <c r="E204" s="735"/>
      <c r="F204" s="753">
        <f>E204+F202</f>
        <v>0</v>
      </c>
      <c r="G204" s="753">
        <f>F204+G202</f>
        <v>0</v>
      </c>
      <c r="H204" s="753">
        <f aca="true" t="shared" si="29" ref="H204:R204">G204+H202</f>
        <v>0</v>
      </c>
      <c r="I204" s="753">
        <f t="shared" si="29"/>
        <v>0</v>
      </c>
      <c r="J204" s="753">
        <f t="shared" si="29"/>
        <v>0</v>
      </c>
      <c r="K204" s="753">
        <f t="shared" si="29"/>
        <v>0</v>
      </c>
      <c r="L204" s="753">
        <f t="shared" si="29"/>
        <v>0</v>
      </c>
      <c r="M204" s="736">
        <f t="shared" si="29"/>
        <v>-14999</v>
      </c>
      <c r="N204" s="736">
        <f t="shared" si="29"/>
        <v>-14999</v>
      </c>
      <c r="O204" s="736">
        <f t="shared" si="29"/>
        <v>-14999</v>
      </c>
      <c r="P204" s="736">
        <f t="shared" si="29"/>
        <v>-14999</v>
      </c>
      <c r="Q204" s="736">
        <f t="shared" si="29"/>
        <v>-14999</v>
      </c>
      <c r="R204" s="736">
        <f t="shared" si="29"/>
        <v>-14999</v>
      </c>
    </row>
    <row r="205" spans="1:18" ht="18" customHeight="1" thickBot="1">
      <c r="A205" s="755"/>
      <c r="B205" s="770"/>
      <c r="C205" s="744"/>
      <c r="D205" s="744"/>
      <c r="E205" s="744"/>
      <c r="F205" s="744"/>
      <c r="G205" s="744"/>
      <c r="H205" s="744"/>
      <c r="I205" s="744"/>
      <c r="J205" s="744"/>
      <c r="K205" s="744"/>
      <c r="L205" s="744"/>
      <c r="M205" s="744"/>
      <c r="N205" s="744"/>
      <c r="O205" s="744"/>
      <c r="P205" s="744"/>
      <c r="Q205" s="744"/>
      <c r="R205" s="744"/>
    </row>
    <row r="206" spans="1:18" ht="18" customHeight="1" thickTop="1">
      <c r="A206" s="756"/>
      <c r="B206" s="764" t="str">
        <f>Riepilogo!D89</f>
        <v>Expo Venice S.p.A.</v>
      </c>
      <c r="C206" s="735"/>
      <c r="D206" s="735"/>
      <c r="E206" s="735"/>
      <c r="F206" s="735"/>
      <c r="G206" s="735"/>
      <c r="H206" s="748"/>
      <c r="I206" s="735"/>
      <c r="J206" s="735"/>
      <c r="K206" s="735"/>
      <c r="L206" s="735"/>
      <c r="M206" s="749"/>
      <c r="N206" s="749"/>
      <c r="O206" s="749"/>
      <c r="P206" s="749"/>
      <c r="Q206" s="749"/>
      <c r="R206" s="749"/>
    </row>
    <row r="207" spans="2:18" ht="18" customHeight="1">
      <c r="B207" s="765" t="s">
        <v>253</v>
      </c>
      <c r="C207" s="735"/>
      <c r="D207" s="735"/>
      <c r="E207" s="735"/>
      <c r="F207" s="735">
        <v>0</v>
      </c>
      <c r="G207" s="735">
        <v>0</v>
      </c>
      <c r="H207" s="735">
        <v>0</v>
      </c>
      <c r="I207" s="735">
        <v>0</v>
      </c>
      <c r="J207" s="735">
        <v>0</v>
      </c>
      <c r="K207" s="735">
        <v>0</v>
      </c>
      <c r="L207" s="735">
        <v>0</v>
      </c>
      <c r="M207" s="735">
        <v>0</v>
      </c>
      <c r="N207" s="735">
        <v>0</v>
      </c>
      <c r="O207" s="735">
        <v>0</v>
      </c>
      <c r="P207" s="735">
        <v>0</v>
      </c>
      <c r="Q207" s="735">
        <v>0</v>
      </c>
      <c r="R207" s="735">
        <v>0</v>
      </c>
    </row>
    <row r="208" spans="2:18" ht="18" customHeight="1">
      <c r="B208" s="766" t="s">
        <v>252</v>
      </c>
      <c r="C208" s="737"/>
      <c r="D208" s="737"/>
      <c r="E208" s="737"/>
      <c r="F208" s="754">
        <f>($D207+SUM($F207:F207))</f>
        <v>0</v>
      </c>
      <c r="G208" s="754">
        <f>($D207+SUM($F207:G207))</f>
        <v>0</v>
      </c>
      <c r="H208" s="754">
        <f>($D207+SUM($F207:H207))</f>
        <v>0</v>
      </c>
      <c r="I208" s="754">
        <f>($D207+SUM($F207:I207))</f>
        <v>0</v>
      </c>
      <c r="J208" s="754">
        <f>($D207+SUM($F207:J207))</f>
        <v>0</v>
      </c>
      <c r="K208" s="754">
        <f>($D207+SUM($F207:K207))</f>
        <v>0</v>
      </c>
      <c r="L208" s="754">
        <f>($D207+SUM($F207:L207))</f>
        <v>0</v>
      </c>
      <c r="M208" s="754">
        <f>($D207+SUM($F207:M207))</f>
        <v>0</v>
      </c>
      <c r="N208" s="754">
        <f>($D207+SUM($F207:N207))</f>
        <v>0</v>
      </c>
      <c r="O208" s="754">
        <f>($D207+SUM($F207:O207))</f>
        <v>0</v>
      </c>
      <c r="P208" s="754">
        <f>($D207+SUM($F207:P207))</f>
        <v>0</v>
      </c>
      <c r="Q208" s="754">
        <f>($D207+SUM($F207:Q207))</f>
        <v>0</v>
      </c>
      <c r="R208" s="754">
        <f>($D207+SUM($F207:R207))</f>
        <v>0</v>
      </c>
    </row>
    <row r="209" spans="2:18" ht="12" customHeight="1">
      <c r="B209" s="767"/>
      <c r="C209" s="740"/>
      <c r="D209" s="740"/>
      <c r="E209" s="740"/>
      <c r="F209" s="740"/>
      <c r="G209" s="740"/>
      <c r="H209" s="740"/>
      <c r="I209" s="740"/>
      <c r="J209" s="740"/>
      <c r="K209" s="742"/>
      <c r="L209" s="743"/>
      <c r="M209" s="743"/>
      <c r="N209" s="743"/>
      <c r="O209" s="743"/>
      <c r="P209" s="743"/>
      <c r="Q209" s="743"/>
      <c r="R209" s="743"/>
    </row>
    <row r="210" spans="2:18" ht="18" customHeight="1">
      <c r="B210" s="769" t="s">
        <v>557</v>
      </c>
      <c r="C210" s="735"/>
      <c r="D210" s="735"/>
      <c r="E210" s="735"/>
      <c r="F210" s="735">
        <v>0</v>
      </c>
      <c r="G210" s="735">
        <v>0</v>
      </c>
      <c r="H210" s="735">
        <v>0</v>
      </c>
      <c r="I210" s="735">
        <v>0</v>
      </c>
      <c r="J210" s="735">
        <v>0</v>
      </c>
      <c r="K210" s="735">
        <v>0</v>
      </c>
      <c r="L210" s="735">
        <v>0</v>
      </c>
      <c r="M210" s="735">
        <v>0</v>
      </c>
      <c r="N210" s="735">
        <v>0</v>
      </c>
      <c r="O210" s="735">
        <v>0</v>
      </c>
      <c r="P210" s="735">
        <v>-123579</v>
      </c>
      <c r="Q210" s="735">
        <v>0</v>
      </c>
      <c r="R210" s="735">
        <v>0</v>
      </c>
    </row>
    <row r="211" spans="2:18" ht="18" customHeight="1">
      <c r="B211" s="769" t="s">
        <v>251</v>
      </c>
      <c r="C211" s="735"/>
      <c r="D211" s="735"/>
      <c r="E211" s="735"/>
      <c r="F211" s="735">
        <v>0</v>
      </c>
      <c r="G211" s="735">
        <v>0</v>
      </c>
      <c r="H211" s="735">
        <v>0</v>
      </c>
      <c r="I211" s="735">
        <v>0</v>
      </c>
      <c r="J211" s="735">
        <v>0</v>
      </c>
      <c r="K211" s="735">
        <v>0</v>
      </c>
      <c r="L211" s="735">
        <v>0</v>
      </c>
      <c r="M211" s="735">
        <v>0</v>
      </c>
      <c r="N211" s="735">
        <v>0</v>
      </c>
      <c r="O211" s="735">
        <v>0</v>
      </c>
      <c r="P211" s="735">
        <v>0</v>
      </c>
      <c r="Q211" s="735">
        <v>0</v>
      </c>
      <c r="R211" s="735">
        <v>0</v>
      </c>
    </row>
    <row r="212" spans="2:18" ht="18" customHeight="1">
      <c r="B212" s="769" t="s">
        <v>225</v>
      </c>
      <c r="C212" s="735"/>
      <c r="D212" s="735"/>
      <c r="E212" s="738"/>
      <c r="F212" s="738">
        <v>0</v>
      </c>
      <c r="G212" s="738">
        <v>0</v>
      </c>
      <c r="H212" s="738">
        <v>0</v>
      </c>
      <c r="I212" s="738">
        <v>0</v>
      </c>
      <c r="J212" s="738">
        <v>0</v>
      </c>
      <c r="K212" s="738">
        <v>0</v>
      </c>
      <c r="L212" s="738">
        <v>0</v>
      </c>
      <c r="M212" s="738">
        <v>0</v>
      </c>
      <c r="N212" s="738">
        <v>0</v>
      </c>
      <c r="O212" s="738">
        <v>0</v>
      </c>
      <c r="P212" s="738">
        <v>0</v>
      </c>
      <c r="Q212" s="738">
        <v>0</v>
      </c>
      <c r="R212" s="738">
        <v>0</v>
      </c>
    </row>
    <row r="213" spans="2:18" ht="18" customHeight="1">
      <c r="B213" s="776" t="s">
        <v>559</v>
      </c>
      <c r="C213" s="737"/>
      <c r="D213" s="737"/>
      <c r="E213" s="737"/>
      <c r="F213" s="736">
        <f>SUM(F210:F212)</f>
        <v>0</v>
      </c>
      <c r="G213" s="736">
        <f aca="true" t="shared" si="30" ref="G213:Q213">SUM(G210:G212)</f>
        <v>0</v>
      </c>
      <c r="H213" s="736">
        <f t="shared" si="30"/>
        <v>0</v>
      </c>
      <c r="I213" s="736">
        <f t="shared" si="30"/>
        <v>0</v>
      </c>
      <c r="J213" s="736">
        <f t="shared" si="30"/>
        <v>0</v>
      </c>
      <c r="K213" s="736">
        <f t="shared" si="30"/>
        <v>0</v>
      </c>
      <c r="L213" s="736">
        <f t="shared" si="30"/>
        <v>0</v>
      </c>
      <c r="M213" s="736">
        <f t="shared" si="30"/>
        <v>0</v>
      </c>
      <c r="N213" s="736">
        <f t="shared" si="30"/>
        <v>0</v>
      </c>
      <c r="O213" s="736">
        <f t="shared" si="30"/>
        <v>0</v>
      </c>
      <c r="P213" s="736">
        <f t="shared" si="30"/>
        <v>-123579</v>
      </c>
      <c r="Q213" s="736">
        <f t="shared" si="30"/>
        <v>0</v>
      </c>
      <c r="R213" s="736">
        <f>SUM(R210:R212)</f>
        <v>0</v>
      </c>
    </row>
    <row r="214" spans="2:18" ht="12" customHeight="1">
      <c r="B214" s="767"/>
      <c r="C214" s="740"/>
      <c r="D214" s="740"/>
      <c r="E214" s="740"/>
      <c r="F214" s="740"/>
      <c r="G214" s="740"/>
      <c r="H214" s="740"/>
      <c r="I214" s="740"/>
      <c r="J214" s="740"/>
      <c r="K214" s="742"/>
      <c r="L214" s="743"/>
      <c r="M214" s="743"/>
      <c r="N214" s="743"/>
      <c r="O214" s="743"/>
      <c r="P214" s="743"/>
      <c r="Q214" s="743"/>
      <c r="R214" s="743"/>
    </row>
    <row r="215" spans="2:18" ht="18" customHeight="1">
      <c r="B215" s="765" t="s">
        <v>556</v>
      </c>
      <c r="C215" s="735"/>
      <c r="D215" s="735"/>
      <c r="E215" s="735"/>
      <c r="F215" s="753">
        <f aca="true" t="shared" si="31" ref="F215:R215">E215+F213</f>
        <v>0</v>
      </c>
      <c r="G215" s="753">
        <f t="shared" si="31"/>
        <v>0</v>
      </c>
      <c r="H215" s="753">
        <f t="shared" si="31"/>
        <v>0</v>
      </c>
      <c r="I215" s="753">
        <f t="shared" si="31"/>
        <v>0</v>
      </c>
      <c r="J215" s="753">
        <f t="shared" si="31"/>
        <v>0</v>
      </c>
      <c r="K215" s="753">
        <f t="shared" si="31"/>
        <v>0</v>
      </c>
      <c r="L215" s="753">
        <f t="shared" si="31"/>
        <v>0</v>
      </c>
      <c r="M215" s="753">
        <f t="shared" si="31"/>
        <v>0</v>
      </c>
      <c r="N215" s="753">
        <f t="shared" si="31"/>
        <v>0</v>
      </c>
      <c r="O215" s="753">
        <f t="shared" si="31"/>
        <v>0</v>
      </c>
      <c r="P215" s="736">
        <f t="shared" si="31"/>
        <v>-123579</v>
      </c>
      <c r="Q215" s="736">
        <f t="shared" si="31"/>
        <v>-123579</v>
      </c>
      <c r="R215" s="736">
        <f t="shared" si="31"/>
        <v>-123579</v>
      </c>
    </row>
    <row r="216" spans="2:18" ht="18" customHeight="1">
      <c r="B216" s="770"/>
      <c r="C216" s="744"/>
      <c r="D216" s="744"/>
      <c r="E216" s="744"/>
      <c r="F216" s="744"/>
      <c r="G216" s="744"/>
      <c r="H216" s="744"/>
      <c r="I216" s="744"/>
      <c r="J216" s="744"/>
      <c r="K216" s="744"/>
      <c r="L216" s="744"/>
      <c r="M216" s="744"/>
      <c r="N216" s="744"/>
      <c r="O216" s="744"/>
      <c r="P216" s="744"/>
      <c r="Q216" s="744"/>
      <c r="R216" s="744"/>
    </row>
    <row r="217" spans="2:18" ht="18" customHeight="1">
      <c r="B217" s="764" t="e">
        <f>Riepilogo!#REF!</f>
        <v>#REF!</v>
      </c>
      <c r="C217" s="735"/>
      <c r="D217" s="735"/>
      <c r="E217" s="735"/>
      <c r="F217" s="735"/>
      <c r="G217" s="735"/>
      <c r="H217" s="735"/>
      <c r="I217" s="735"/>
      <c r="J217" s="735"/>
      <c r="K217" s="749"/>
      <c r="L217" s="749"/>
      <c r="M217" s="749"/>
      <c r="N217" s="749"/>
      <c r="O217" s="749"/>
      <c r="P217" s="749"/>
      <c r="Q217" s="749"/>
      <c r="R217" s="749"/>
    </row>
    <row r="218" spans="2:18" ht="18" customHeight="1">
      <c r="B218" s="765" t="s">
        <v>331</v>
      </c>
      <c r="C218" s="735"/>
      <c r="D218" s="735"/>
      <c r="E218" s="735"/>
      <c r="F218" s="735"/>
      <c r="G218" s="735"/>
      <c r="H218" s="735"/>
      <c r="I218" s="735"/>
      <c r="J218" s="735">
        <v>0</v>
      </c>
      <c r="K218" s="749">
        <v>0</v>
      </c>
      <c r="L218" s="749">
        <v>0</v>
      </c>
      <c r="M218" s="749">
        <v>0</v>
      </c>
      <c r="N218" s="749">
        <v>0</v>
      </c>
      <c r="O218" s="735">
        <v>-26812.8</v>
      </c>
      <c r="P218" s="735">
        <v>-122943.6</v>
      </c>
      <c r="Q218" s="735">
        <v>0</v>
      </c>
      <c r="R218" s="735">
        <f>'[2]cessioni 2017'!$J$83+'[2]cessioni 2017'!$J$81</f>
        <v>-474836.96</v>
      </c>
    </row>
    <row r="219" spans="2:18" ht="18" customHeight="1">
      <c r="B219" s="765" t="s">
        <v>253</v>
      </c>
      <c r="C219" s="735"/>
      <c r="D219" s="735"/>
      <c r="E219" s="735"/>
      <c r="F219" s="735"/>
      <c r="G219" s="735"/>
      <c r="H219" s="735"/>
      <c r="I219" s="735"/>
      <c r="J219" s="735">
        <v>421082.41</v>
      </c>
      <c r="K219" s="735">
        <v>-421082.41</v>
      </c>
      <c r="L219" s="735">
        <v>0</v>
      </c>
      <c r="M219" s="735">
        <v>0</v>
      </c>
      <c r="N219" s="735">
        <v>135602.81</v>
      </c>
      <c r="O219" s="735">
        <v>678097.1299999999</v>
      </c>
      <c r="P219" s="735">
        <v>-198078.78999999992</v>
      </c>
      <c r="Q219" s="735">
        <v>8972.21</v>
      </c>
      <c r="R219" s="735">
        <v>0</v>
      </c>
    </row>
    <row r="220" spans="2:18" ht="18" customHeight="1">
      <c r="B220" s="773" t="s">
        <v>252</v>
      </c>
      <c r="C220" s="737"/>
      <c r="D220" s="737"/>
      <c r="E220" s="737"/>
      <c r="F220" s="737"/>
      <c r="G220" s="737"/>
      <c r="H220" s="737"/>
      <c r="I220" s="737"/>
      <c r="J220" s="736">
        <f>SUM(C219:J219)-C219-E219</f>
        <v>421082.41</v>
      </c>
      <c r="K220" s="754">
        <f>K219+J220</f>
        <v>0</v>
      </c>
      <c r="L220" s="754">
        <f>L219+K220</f>
        <v>0</v>
      </c>
      <c r="M220" s="754">
        <f>M219+L220</f>
        <v>0</v>
      </c>
      <c r="N220" s="754">
        <f>N219+M220</f>
        <v>135602.81</v>
      </c>
      <c r="O220" s="754">
        <f>O219+O218+N220</f>
        <v>786887.1399999999</v>
      </c>
      <c r="P220" s="754">
        <f>P219+P218+O220</f>
        <v>465864.75</v>
      </c>
      <c r="Q220" s="754">
        <f>Q219+Q218+P220</f>
        <v>474836.96</v>
      </c>
      <c r="R220" s="754">
        <f>R219+R218+Q220</f>
        <v>0</v>
      </c>
    </row>
    <row r="221" spans="2:18" ht="12" customHeight="1">
      <c r="B221" s="774"/>
      <c r="C221" s="740"/>
      <c r="D221" s="740"/>
      <c r="E221" s="740"/>
      <c r="F221" s="740"/>
      <c r="G221" s="740"/>
      <c r="H221" s="740"/>
      <c r="I221" s="740"/>
      <c r="J221" s="740"/>
      <c r="K221" s="742"/>
      <c r="L221" s="743"/>
      <c r="M221" s="743"/>
      <c r="N221" s="743"/>
      <c r="O221" s="743"/>
      <c r="P221" s="743"/>
      <c r="Q221" s="743"/>
      <c r="R221" s="743"/>
    </row>
    <row r="222" spans="2:18" ht="18" customHeight="1">
      <c r="B222" s="769" t="s">
        <v>557</v>
      </c>
      <c r="C222" s="735"/>
      <c r="D222" s="735"/>
      <c r="E222" s="735"/>
      <c r="F222" s="735"/>
      <c r="G222" s="735"/>
      <c r="H222" s="735"/>
      <c r="I222" s="735"/>
      <c r="J222" s="735">
        <v>0</v>
      </c>
      <c r="K222" s="735">
        <v>-1280579.92</v>
      </c>
      <c r="L222" s="735">
        <v>-657622.6500000001</v>
      </c>
      <c r="M222" s="735">
        <v>-136622.38</v>
      </c>
      <c r="N222" s="735">
        <v>0</v>
      </c>
      <c r="O222" s="735">
        <v>0</v>
      </c>
      <c r="P222" s="735">
        <v>0</v>
      </c>
      <c r="Q222" s="735">
        <v>0</v>
      </c>
      <c r="R222" s="735">
        <v>0</v>
      </c>
    </row>
    <row r="223" spans="2:18" ht="18" customHeight="1">
      <c r="B223" s="769" t="s">
        <v>251</v>
      </c>
      <c r="C223" s="735"/>
      <c r="D223" s="735"/>
      <c r="E223" s="735"/>
      <c r="F223" s="735"/>
      <c r="G223" s="735"/>
      <c r="H223" s="735"/>
      <c r="I223" s="735"/>
      <c r="J223" s="735">
        <v>0</v>
      </c>
      <c r="K223" s="735">
        <v>0</v>
      </c>
      <c r="L223" s="735">
        <v>0</v>
      </c>
      <c r="M223" s="735">
        <v>0</v>
      </c>
      <c r="N223" s="735">
        <v>0</v>
      </c>
      <c r="O223" s="735">
        <v>0</v>
      </c>
      <c r="P223" s="735">
        <v>0</v>
      </c>
      <c r="Q223" s="735">
        <v>0</v>
      </c>
      <c r="R223" s="735">
        <v>0</v>
      </c>
    </row>
    <row r="224" spans="2:18" ht="18" customHeight="1">
      <c r="B224" s="769" t="s">
        <v>225</v>
      </c>
      <c r="C224" s="735"/>
      <c r="D224" s="735"/>
      <c r="E224" s="738"/>
      <c r="F224" s="738"/>
      <c r="G224" s="738"/>
      <c r="H224" s="738"/>
      <c r="I224" s="738"/>
      <c r="J224" s="738">
        <v>0</v>
      </c>
      <c r="K224" s="738">
        <f>-K219</f>
        <v>421082.41</v>
      </c>
      <c r="L224" s="738">
        <v>0</v>
      </c>
      <c r="M224" s="738">
        <v>0</v>
      </c>
      <c r="N224" s="738">
        <v>0</v>
      </c>
      <c r="O224" s="738">
        <f>-O218</f>
        <v>26812.8</v>
      </c>
      <c r="P224" s="738">
        <f>-P218</f>
        <v>122943.6</v>
      </c>
      <c r="Q224" s="738">
        <f>-Q218</f>
        <v>0</v>
      </c>
      <c r="R224" s="738">
        <f>-R218</f>
        <v>474836.96</v>
      </c>
    </row>
    <row r="225" spans="2:18" ht="18" customHeight="1">
      <c r="B225" s="776" t="s">
        <v>559</v>
      </c>
      <c r="C225" s="737"/>
      <c r="D225" s="737"/>
      <c r="E225" s="737"/>
      <c r="F225" s="737"/>
      <c r="G225" s="737"/>
      <c r="H225" s="737"/>
      <c r="I225" s="737"/>
      <c r="J225" s="736">
        <f>SUM(J222:J224)</f>
        <v>0</v>
      </c>
      <c r="K225" s="736">
        <f aca="true" t="shared" si="32" ref="K225:Q225">SUM(K222:K224)</f>
        <v>-859497.51</v>
      </c>
      <c r="L225" s="736">
        <f t="shared" si="32"/>
        <v>-657622.6500000001</v>
      </c>
      <c r="M225" s="736">
        <f t="shared" si="32"/>
        <v>-136622.38</v>
      </c>
      <c r="N225" s="736">
        <f t="shared" si="32"/>
        <v>0</v>
      </c>
      <c r="O225" s="736">
        <f t="shared" si="32"/>
        <v>26812.8</v>
      </c>
      <c r="P225" s="736">
        <f t="shared" si="32"/>
        <v>122943.6</v>
      </c>
      <c r="Q225" s="736">
        <f t="shared" si="32"/>
        <v>0</v>
      </c>
      <c r="R225" s="736">
        <f>SUM(R222:R224)</f>
        <v>474836.96</v>
      </c>
    </row>
    <row r="226" spans="2:18" ht="12" customHeight="1">
      <c r="B226" s="767"/>
      <c r="C226" s="740"/>
      <c r="D226" s="740"/>
      <c r="E226" s="740"/>
      <c r="F226" s="740"/>
      <c r="G226" s="740"/>
      <c r="H226" s="740"/>
      <c r="I226" s="740"/>
      <c r="J226" s="742"/>
      <c r="K226" s="742"/>
      <c r="L226" s="743"/>
      <c r="M226" s="743"/>
      <c r="N226" s="743"/>
      <c r="O226" s="743"/>
      <c r="P226" s="743"/>
      <c r="Q226" s="743"/>
      <c r="R226" s="743"/>
    </row>
    <row r="227" spans="2:18" ht="18" customHeight="1">
      <c r="B227" s="765" t="s">
        <v>556</v>
      </c>
      <c r="C227" s="735"/>
      <c r="D227" s="735"/>
      <c r="E227" s="735"/>
      <c r="F227" s="735"/>
      <c r="G227" s="735"/>
      <c r="H227" s="735"/>
      <c r="I227" s="735"/>
      <c r="J227" s="753">
        <f>I227+J225</f>
        <v>0</v>
      </c>
      <c r="K227" s="736">
        <f>J227+K225</f>
        <v>-859497.51</v>
      </c>
      <c r="L227" s="736">
        <f aca="true" t="shared" si="33" ref="L227:R227">K227+L225</f>
        <v>-1517120.1600000001</v>
      </c>
      <c r="M227" s="736">
        <f t="shared" si="33"/>
        <v>-1653742.54</v>
      </c>
      <c r="N227" s="736">
        <f t="shared" si="33"/>
        <v>-1653742.54</v>
      </c>
      <c r="O227" s="736">
        <f t="shared" si="33"/>
        <v>-1626929.74</v>
      </c>
      <c r="P227" s="736">
        <f t="shared" si="33"/>
        <v>-1503986.14</v>
      </c>
      <c r="Q227" s="736">
        <f t="shared" si="33"/>
        <v>-1503986.14</v>
      </c>
      <c r="R227" s="736">
        <f t="shared" si="33"/>
        <v>-1029149.1799999999</v>
      </c>
    </row>
    <row r="228" spans="2:18" ht="18" customHeight="1">
      <c r="B228" s="770"/>
      <c r="C228" s="744"/>
      <c r="D228" s="744"/>
      <c r="E228" s="744"/>
      <c r="F228" s="744"/>
      <c r="G228" s="744"/>
      <c r="H228" s="744"/>
      <c r="I228" s="744"/>
      <c r="J228" s="744"/>
      <c r="K228" s="744"/>
      <c r="L228" s="744"/>
      <c r="M228" s="744"/>
      <c r="N228" s="744"/>
      <c r="O228" s="744"/>
      <c r="P228" s="744"/>
      <c r="Q228" s="744"/>
      <c r="R228" s="744"/>
    </row>
    <row r="229" spans="2:18" ht="16.5">
      <c r="B229" s="806">
        <f>Riepilogo!D106</f>
        <v>0</v>
      </c>
      <c r="C229" s="735"/>
      <c r="D229" s="735"/>
      <c r="E229" s="735"/>
      <c r="F229" s="735"/>
      <c r="G229" s="735"/>
      <c r="H229" s="748"/>
      <c r="I229" s="735"/>
      <c r="J229" s="735"/>
      <c r="K229" s="735"/>
      <c r="L229" s="735"/>
      <c r="M229" s="749"/>
      <c r="N229" s="749"/>
      <c r="O229" s="749"/>
      <c r="P229" s="749"/>
      <c r="Q229" s="749"/>
      <c r="R229" s="749"/>
    </row>
    <row r="230" spans="2:18" ht="16.5">
      <c r="B230" s="765" t="s">
        <v>253</v>
      </c>
      <c r="C230" s="735"/>
      <c r="D230" s="735"/>
      <c r="E230" s="735"/>
      <c r="F230" s="735"/>
      <c r="G230" s="735"/>
      <c r="H230" s="735"/>
      <c r="I230" s="735"/>
      <c r="J230" s="735"/>
      <c r="K230" s="735">
        <v>0</v>
      </c>
      <c r="L230" s="735">
        <v>0</v>
      </c>
      <c r="M230" s="735">
        <v>0</v>
      </c>
      <c r="N230" s="735">
        <v>0</v>
      </c>
      <c r="O230" s="735">
        <v>0</v>
      </c>
      <c r="P230" s="735">
        <v>0</v>
      </c>
      <c r="Q230" s="735">
        <v>0</v>
      </c>
      <c r="R230" s="735">
        <v>0</v>
      </c>
    </row>
    <row r="231" spans="2:18" ht="15.75">
      <c r="B231" s="766" t="s">
        <v>252</v>
      </c>
      <c r="C231" s="737"/>
      <c r="D231" s="737"/>
      <c r="E231" s="737"/>
      <c r="F231" s="754"/>
      <c r="G231" s="754"/>
      <c r="H231" s="754"/>
      <c r="I231" s="754"/>
      <c r="J231" s="754"/>
      <c r="K231" s="754">
        <f>($D230+SUM($F230:K230))</f>
        <v>0</v>
      </c>
      <c r="L231" s="754">
        <f>($D230+SUM($F230:L230))</f>
        <v>0</v>
      </c>
      <c r="M231" s="754">
        <f>($D230+SUM($F230:M230))</f>
        <v>0</v>
      </c>
      <c r="N231" s="754">
        <f>($D230+SUM($F230:N230))</f>
        <v>0</v>
      </c>
      <c r="O231" s="754">
        <f>($D230+SUM($F230:O230))</f>
        <v>0</v>
      </c>
      <c r="P231" s="754">
        <f>($D230+SUM($F230:P230))</f>
        <v>0</v>
      </c>
      <c r="Q231" s="754">
        <f>($D230+SUM($F230:Q230))</f>
        <v>0</v>
      </c>
      <c r="R231" s="754">
        <f>($D230+SUM($F230:R230))</f>
        <v>0</v>
      </c>
    </row>
    <row r="232" spans="2:18" ht="16.5">
      <c r="B232" s="767"/>
      <c r="C232" s="740"/>
      <c r="D232" s="740"/>
      <c r="E232" s="740"/>
      <c r="F232" s="740"/>
      <c r="G232" s="740"/>
      <c r="H232" s="740"/>
      <c r="I232" s="740"/>
      <c r="J232" s="740"/>
      <c r="K232" s="742"/>
      <c r="L232" s="743"/>
      <c r="M232" s="743"/>
      <c r="N232" s="743"/>
      <c r="O232" s="743"/>
      <c r="P232" s="743"/>
      <c r="Q232" s="743"/>
      <c r="R232" s="743"/>
    </row>
    <row r="233" spans="2:18" ht="15.75" customHeight="1">
      <c r="B233" s="769" t="s">
        <v>557</v>
      </c>
      <c r="C233" s="735"/>
      <c r="D233" s="735"/>
      <c r="E233" s="735"/>
      <c r="F233" s="735"/>
      <c r="G233" s="735"/>
      <c r="H233" s="735"/>
      <c r="I233" s="735"/>
      <c r="J233" s="735"/>
      <c r="K233" s="735">
        <v>0</v>
      </c>
      <c r="L233" s="735">
        <v>0</v>
      </c>
      <c r="M233" s="735">
        <v>0</v>
      </c>
      <c r="N233" s="735">
        <v>0</v>
      </c>
      <c r="O233" s="735">
        <v>0</v>
      </c>
      <c r="P233" s="735">
        <v>0</v>
      </c>
      <c r="Q233" s="735">
        <v>0</v>
      </c>
      <c r="R233" s="735">
        <v>0</v>
      </c>
    </row>
    <row r="234" spans="2:18" ht="15.75" customHeight="1">
      <c r="B234" s="769" t="s">
        <v>251</v>
      </c>
      <c r="C234" s="735"/>
      <c r="D234" s="735"/>
      <c r="E234" s="735"/>
      <c r="F234" s="735"/>
      <c r="G234" s="735"/>
      <c r="H234" s="735"/>
      <c r="I234" s="735"/>
      <c r="J234" s="735"/>
      <c r="K234" s="735">
        <v>0</v>
      </c>
      <c r="L234" s="735">
        <v>0</v>
      </c>
      <c r="M234" s="735">
        <v>0</v>
      </c>
      <c r="N234" s="735">
        <v>0</v>
      </c>
      <c r="O234" s="735">
        <v>0</v>
      </c>
      <c r="P234" s="735">
        <v>0</v>
      </c>
      <c r="Q234" s="735">
        <v>-1</v>
      </c>
      <c r="R234" s="735">
        <v>0</v>
      </c>
    </row>
    <row r="235" spans="2:18" ht="15.75">
      <c r="B235" s="769" t="s">
        <v>225</v>
      </c>
      <c r="C235" s="735"/>
      <c r="D235" s="735"/>
      <c r="E235" s="738"/>
      <c r="F235" s="738"/>
      <c r="G235" s="738"/>
      <c r="H235" s="738"/>
      <c r="I235" s="738"/>
      <c r="J235" s="738"/>
      <c r="K235" s="738">
        <v>0</v>
      </c>
      <c r="L235" s="738">
        <v>0</v>
      </c>
      <c r="M235" s="738">
        <v>0</v>
      </c>
      <c r="N235" s="738">
        <v>0</v>
      </c>
      <c r="O235" s="738">
        <v>0</v>
      </c>
      <c r="P235" s="738">
        <v>0</v>
      </c>
      <c r="Q235" s="738">
        <v>0</v>
      </c>
      <c r="R235" s="738">
        <v>0</v>
      </c>
    </row>
    <row r="236" spans="2:18" ht="15.75" customHeight="1">
      <c r="B236" s="776" t="s">
        <v>559</v>
      </c>
      <c r="C236" s="737"/>
      <c r="D236" s="737"/>
      <c r="E236" s="737"/>
      <c r="F236" s="736"/>
      <c r="G236" s="736"/>
      <c r="H236" s="736"/>
      <c r="I236" s="736"/>
      <c r="J236" s="736"/>
      <c r="K236" s="736">
        <f>SUM(K233:K235)</f>
        <v>0</v>
      </c>
      <c r="L236" s="736">
        <f aca="true" t="shared" si="34" ref="L236:Q236">SUM(L233:L235)</f>
        <v>0</v>
      </c>
      <c r="M236" s="736">
        <f t="shared" si="34"/>
        <v>0</v>
      </c>
      <c r="N236" s="736">
        <f t="shared" si="34"/>
        <v>0</v>
      </c>
      <c r="O236" s="736">
        <f t="shared" si="34"/>
        <v>0</v>
      </c>
      <c r="P236" s="736">
        <f t="shared" si="34"/>
        <v>0</v>
      </c>
      <c r="Q236" s="736">
        <f t="shared" si="34"/>
        <v>-1</v>
      </c>
      <c r="R236" s="736">
        <f>SUM(R233:R235)</f>
        <v>0</v>
      </c>
    </row>
    <row r="237" spans="2:18" ht="12" customHeight="1">
      <c r="B237" s="767"/>
      <c r="C237" s="740"/>
      <c r="D237" s="740"/>
      <c r="E237" s="740"/>
      <c r="F237" s="740"/>
      <c r="G237" s="740"/>
      <c r="H237" s="740"/>
      <c r="I237" s="740"/>
      <c r="J237" s="740"/>
      <c r="K237" s="742"/>
      <c r="L237" s="743"/>
      <c r="M237" s="743"/>
      <c r="N237" s="743"/>
      <c r="O237" s="743"/>
      <c r="P237" s="743"/>
      <c r="Q237" s="743"/>
      <c r="R237" s="743"/>
    </row>
    <row r="238" spans="2:18" ht="18" customHeight="1">
      <c r="B238" s="765" t="s">
        <v>556</v>
      </c>
      <c r="C238" s="735"/>
      <c r="D238" s="735"/>
      <c r="E238" s="735"/>
      <c r="F238" s="753"/>
      <c r="G238" s="753"/>
      <c r="H238" s="753"/>
      <c r="I238" s="753"/>
      <c r="J238" s="753"/>
      <c r="K238" s="753">
        <f aca="true" t="shared" si="35" ref="K238:R238">J238+K236</f>
        <v>0</v>
      </c>
      <c r="L238" s="736">
        <f t="shared" si="35"/>
        <v>0</v>
      </c>
      <c r="M238" s="736">
        <f t="shared" si="35"/>
        <v>0</v>
      </c>
      <c r="N238" s="736">
        <f t="shared" si="35"/>
        <v>0</v>
      </c>
      <c r="O238" s="736">
        <f t="shared" si="35"/>
        <v>0</v>
      </c>
      <c r="P238" s="736">
        <f t="shared" si="35"/>
        <v>0</v>
      </c>
      <c r="Q238" s="736">
        <f t="shared" si="35"/>
        <v>-1</v>
      </c>
      <c r="R238" s="736">
        <f t="shared" si="35"/>
        <v>-1</v>
      </c>
    </row>
    <row r="239" spans="2:18" ht="18" customHeight="1">
      <c r="B239" s="765"/>
      <c r="C239" s="735"/>
      <c r="D239" s="735"/>
      <c r="E239" s="735"/>
      <c r="F239" s="735"/>
      <c r="G239" s="735"/>
      <c r="H239" s="735"/>
      <c r="I239" s="735"/>
      <c r="J239" s="753"/>
      <c r="K239" s="736"/>
      <c r="L239" s="736"/>
      <c r="M239" s="736"/>
      <c r="N239" s="736"/>
      <c r="O239" s="736"/>
      <c r="P239" s="736"/>
      <c r="Q239" s="736"/>
      <c r="R239" s="736"/>
    </row>
    <row r="240" spans="2:18" ht="18" customHeight="1">
      <c r="B240" s="770"/>
      <c r="C240" s="744"/>
      <c r="D240" s="744"/>
      <c r="E240" s="744"/>
      <c r="F240" s="744"/>
      <c r="G240" s="744"/>
      <c r="H240" s="744"/>
      <c r="I240" s="744"/>
      <c r="J240" s="744"/>
      <c r="K240" s="744"/>
      <c r="L240" s="744"/>
      <c r="M240" s="744"/>
      <c r="N240" s="744"/>
      <c r="O240" s="744"/>
      <c r="P240" s="744"/>
      <c r="Q240" s="744"/>
      <c r="R240" s="744"/>
    </row>
    <row r="241" spans="2:18" ht="18" customHeight="1">
      <c r="B241" s="764" t="str">
        <f>Riepilogo!D97</f>
        <v>Xgroup S.p.A. in liquidazione</v>
      </c>
      <c r="C241" s="735"/>
      <c r="D241" s="735"/>
      <c r="E241" s="735"/>
      <c r="F241" s="735"/>
      <c r="G241" s="735"/>
      <c r="H241" s="748"/>
      <c r="I241" s="735"/>
      <c r="J241" s="735"/>
      <c r="K241" s="735"/>
      <c r="L241" s="735"/>
      <c r="M241" s="749"/>
      <c r="N241" s="749"/>
      <c r="O241" s="749"/>
      <c r="P241" s="749"/>
      <c r="Q241" s="749"/>
      <c r="R241" s="749"/>
    </row>
    <row r="242" spans="2:18" ht="18" customHeight="1">
      <c r="B242" s="765" t="s">
        <v>253</v>
      </c>
      <c r="C242" s="735"/>
      <c r="D242" s="735"/>
      <c r="E242" s="735"/>
      <c r="F242" s="735"/>
      <c r="G242" s="735"/>
      <c r="H242" s="735"/>
      <c r="I242" s="735"/>
      <c r="J242" s="735"/>
      <c r="K242" s="735">
        <v>0</v>
      </c>
      <c r="L242" s="735">
        <v>0</v>
      </c>
      <c r="M242" s="735">
        <v>0</v>
      </c>
      <c r="N242" s="735">
        <v>0</v>
      </c>
      <c r="O242" s="735">
        <v>0</v>
      </c>
      <c r="P242" s="735">
        <v>0</v>
      </c>
      <c r="Q242" s="735">
        <v>0</v>
      </c>
      <c r="R242" s="735">
        <v>0</v>
      </c>
    </row>
    <row r="243" spans="2:18" ht="18" customHeight="1">
      <c r="B243" s="766" t="s">
        <v>252</v>
      </c>
      <c r="C243" s="737"/>
      <c r="D243" s="737"/>
      <c r="E243" s="737"/>
      <c r="F243" s="754"/>
      <c r="G243" s="754"/>
      <c r="H243" s="754"/>
      <c r="I243" s="754"/>
      <c r="J243" s="754"/>
      <c r="K243" s="754">
        <f>($D242+SUM($F242:K242))</f>
        <v>0</v>
      </c>
      <c r="L243" s="754">
        <f>($D242+SUM($F242:L242))</f>
        <v>0</v>
      </c>
      <c r="M243" s="754">
        <f>($D242+SUM($F242:M242))</f>
        <v>0</v>
      </c>
      <c r="N243" s="754">
        <f>($D242+SUM($F242:N242))</f>
        <v>0</v>
      </c>
      <c r="O243" s="754">
        <f>($D242+SUM($F242:O242))</f>
        <v>0</v>
      </c>
      <c r="P243" s="754">
        <f>($D242+SUM($F242:P242))</f>
        <v>0</v>
      </c>
      <c r="Q243" s="754">
        <f>($D242+SUM($F242:Q242))</f>
        <v>0</v>
      </c>
      <c r="R243" s="754">
        <f>($D242+SUM($F242:R242))</f>
        <v>0</v>
      </c>
    </row>
    <row r="244" spans="2:18" ht="12" customHeight="1">
      <c r="B244" s="767"/>
      <c r="C244" s="740"/>
      <c r="D244" s="740"/>
      <c r="E244" s="740"/>
      <c r="F244" s="740"/>
      <c r="G244" s="740"/>
      <c r="H244" s="740"/>
      <c r="I244" s="740"/>
      <c r="J244" s="740"/>
      <c r="K244" s="742"/>
      <c r="L244" s="743"/>
      <c r="M244" s="743"/>
      <c r="N244" s="743"/>
      <c r="O244" s="743"/>
      <c r="P244" s="743"/>
      <c r="Q244" s="743"/>
      <c r="R244" s="743"/>
    </row>
    <row r="245" spans="2:18" ht="18" customHeight="1">
      <c r="B245" s="769" t="s">
        <v>557</v>
      </c>
      <c r="C245" s="735"/>
      <c r="D245" s="735"/>
      <c r="E245" s="735"/>
      <c r="F245" s="735"/>
      <c r="G245" s="735"/>
      <c r="H245" s="735"/>
      <c r="I245" s="735"/>
      <c r="J245" s="735"/>
      <c r="K245" s="735">
        <v>0</v>
      </c>
      <c r="L245" s="735">
        <v>-4134951</v>
      </c>
      <c r="M245" s="735">
        <v>0</v>
      </c>
      <c r="N245" s="735">
        <v>0</v>
      </c>
      <c r="O245" s="735">
        <v>0</v>
      </c>
      <c r="P245" s="735">
        <v>0</v>
      </c>
      <c r="Q245" s="735">
        <v>0</v>
      </c>
      <c r="R245" s="735">
        <v>0</v>
      </c>
    </row>
    <row r="246" spans="2:18" ht="18" customHeight="1">
      <c r="B246" s="769" t="s">
        <v>251</v>
      </c>
      <c r="C246" s="735"/>
      <c r="D246" s="735"/>
      <c r="E246" s="735"/>
      <c r="F246" s="735"/>
      <c r="G246" s="735"/>
      <c r="H246" s="735"/>
      <c r="I246" s="735"/>
      <c r="J246" s="735"/>
      <c r="K246" s="735">
        <v>0</v>
      </c>
      <c r="L246" s="735">
        <v>0</v>
      </c>
      <c r="M246" s="735">
        <v>0</v>
      </c>
      <c r="N246" s="735">
        <v>0</v>
      </c>
      <c r="O246" s="735">
        <v>0</v>
      </c>
      <c r="P246" s="735">
        <v>0</v>
      </c>
      <c r="Q246" s="735">
        <v>0</v>
      </c>
      <c r="R246" s="735">
        <v>0</v>
      </c>
    </row>
    <row r="247" spans="2:18" ht="18" customHeight="1">
      <c r="B247" s="769" t="s">
        <v>225</v>
      </c>
      <c r="C247" s="735"/>
      <c r="D247" s="735"/>
      <c r="E247" s="738"/>
      <c r="F247" s="738"/>
      <c r="G247" s="738"/>
      <c r="H247" s="738"/>
      <c r="I247" s="738"/>
      <c r="J247" s="738"/>
      <c r="K247" s="738">
        <v>0</v>
      </c>
      <c r="L247" s="738">
        <v>0</v>
      </c>
      <c r="M247" s="738">
        <v>0</v>
      </c>
      <c r="N247" s="738">
        <v>0</v>
      </c>
      <c r="O247" s="738">
        <v>0</v>
      </c>
      <c r="P247" s="738">
        <v>0</v>
      </c>
      <c r="Q247" s="738">
        <v>0</v>
      </c>
      <c r="R247" s="738">
        <v>0</v>
      </c>
    </row>
    <row r="248" spans="2:18" ht="18" customHeight="1">
      <c r="B248" s="776" t="s">
        <v>559</v>
      </c>
      <c r="C248" s="737"/>
      <c r="D248" s="737"/>
      <c r="E248" s="737"/>
      <c r="F248" s="736"/>
      <c r="G248" s="736"/>
      <c r="H248" s="736"/>
      <c r="I248" s="736"/>
      <c r="J248" s="736"/>
      <c r="K248" s="736">
        <f>SUM(K245:K247)</f>
        <v>0</v>
      </c>
      <c r="L248" s="736">
        <f aca="true" t="shared" si="36" ref="L248:Q248">SUM(L245:L247)</f>
        <v>-4134951</v>
      </c>
      <c r="M248" s="736">
        <f t="shared" si="36"/>
        <v>0</v>
      </c>
      <c r="N248" s="736">
        <f t="shared" si="36"/>
        <v>0</v>
      </c>
      <c r="O248" s="736">
        <f t="shared" si="36"/>
        <v>0</v>
      </c>
      <c r="P248" s="736">
        <f t="shared" si="36"/>
        <v>0</v>
      </c>
      <c r="Q248" s="736">
        <f t="shared" si="36"/>
        <v>0</v>
      </c>
      <c r="R248" s="736">
        <f>SUM(R245:R247)</f>
        <v>0</v>
      </c>
    </row>
    <row r="249" spans="2:18" ht="12" customHeight="1">
      <c r="B249" s="767"/>
      <c r="C249" s="740"/>
      <c r="D249" s="740"/>
      <c r="E249" s="740"/>
      <c r="F249" s="740"/>
      <c r="G249" s="740"/>
      <c r="H249" s="740"/>
      <c r="I249" s="740"/>
      <c r="J249" s="740"/>
      <c r="K249" s="742"/>
      <c r="L249" s="743"/>
      <c r="M249" s="743"/>
      <c r="N249" s="743"/>
      <c r="O249" s="743"/>
      <c r="P249" s="743"/>
      <c r="Q249" s="743"/>
      <c r="R249" s="743"/>
    </row>
    <row r="250" spans="2:18" ht="18" customHeight="1">
      <c r="B250" s="765" t="s">
        <v>556</v>
      </c>
      <c r="C250" s="735"/>
      <c r="D250" s="735"/>
      <c r="E250" s="735"/>
      <c r="F250" s="753"/>
      <c r="G250" s="753"/>
      <c r="H250" s="753"/>
      <c r="I250" s="753"/>
      <c r="J250" s="753"/>
      <c r="K250" s="753">
        <f aca="true" t="shared" si="37" ref="K250:R250">J250+K248</f>
        <v>0</v>
      </c>
      <c r="L250" s="736">
        <f t="shared" si="37"/>
        <v>-4134951</v>
      </c>
      <c r="M250" s="736">
        <f t="shared" si="37"/>
        <v>-4134951</v>
      </c>
      <c r="N250" s="736">
        <f t="shared" si="37"/>
        <v>-4134951</v>
      </c>
      <c r="O250" s="736">
        <f t="shared" si="37"/>
        <v>-4134951</v>
      </c>
      <c r="P250" s="736">
        <f t="shared" si="37"/>
        <v>-4134951</v>
      </c>
      <c r="Q250" s="736">
        <f t="shared" si="37"/>
        <v>-4134951</v>
      </c>
      <c r="R250" s="736">
        <f t="shared" si="37"/>
        <v>-4134951</v>
      </c>
    </row>
    <row r="251" spans="2:18" ht="18" customHeight="1" thickBot="1">
      <c r="B251" s="775"/>
      <c r="C251" s="750"/>
      <c r="D251" s="750"/>
      <c r="E251" s="750"/>
      <c r="F251" s="750"/>
      <c r="G251" s="750"/>
      <c r="H251" s="750"/>
      <c r="I251" s="750"/>
      <c r="J251" s="750"/>
      <c r="K251" s="750"/>
      <c r="L251" s="750"/>
      <c r="M251" s="750"/>
      <c r="N251" s="750"/>
      <c r="O251" s="750"/>
      <c r="P251" s="750"/>
      <c r="Q251" s="750"/>
      <c r="R251" s="750"/>
    </row>
  </sheetData>
  <sheetProtection/>
  <mergeCells count="8">
    <mergeCell ref="R5:R7"/>
    <mergeCell ref="B3:B4"/>
    <mergeCell ref="L5:L7"/>
    <mergeCell ref="M5:M7"/>
    <mergeCell ref="Q5:Q7"/>
    <mergeCell ref="P5:P7"/>
    <mergeCell ref="O5:O7"/>
    <mergeCell ref="N5:N7"/>
  </mergeCells>
  <conditionalFormatting sqref="F175:N175 F30:N30 F131:N131 F41:N41 F186:N186 F153:M153 F164:N164 F197:N197">
    <cfRule type="cellIs" priority="485" dxfId="1" operator="lessThan" stopIfTrue="1">
      <formula>0</formula>
    </cfRule>
    <cfRule type="cellIs" priority="486" dxfId="0" operator="greaterThan" stopIfTrue="1">
      <formula>0</formula>
    </cfRule>
  </conditionalFormatting>
  <conditionalFormatting sqref="F142:N142">
    <cfRule type="cellIs" priority="484" dxfId="1" operator="lessThan" stopIfTrue="1">
      <formula>0</formula>
    </cfRule>
  </conditionalFormatting>
  <conditionalFormatting sqref="F37:N37 F138:N138 F48:N49 F182:N182 J227:N227 F193:N193 F158:N158 F160:N160 F171:N171 F204:N205 F60:N60 F116:P116 F104:N104 F216:N216 F82:N82 F46:L46 F136:M136 Q136 F169:H169 F180:I180 F191:L191 F202:L202 J225 F35:N35 P35:Q35 N46:Q46 J169:Q169 K180:L180 O180:Q180 N191:Q191 N202:Q202 N225:Q225 J239:N239">
    <cfRule type="cellIs" priority="482" dxfId="2" operator="lessThan" stopIfTrue="1">
      <formula>0</formula>
    </cfRule>
  </conditionalFormatting>
  <conditionalFormatting sqref="F248:K248 M248:Q248">
    <cfRule type="cellIs" priority="456" dxfId="2" operator="lessThan" stopIfTrue="1">
      <formula>0</formula>
    </cfRule>
  </conditionalFormatting>
  <conditionalFormatting sqref="F250:M250">
    <cfRule type="cellIs" priority="455" dxfId="2" operator="lessThan" stopIfTrue="1">
      <formula>0</formula>
    </cfRule>
  </conditionalFormatting>
  <conditionalFormatting sqref="F243:M243">
    <cfRule type="cellIs" priority="453" dxfId="1" operator="lessThan" stopIfTrue="1">
      <formula>0</formula>
    </cfRule>
    <cfRule type="cellIs" priority="454" dxfId="0" operator="greaterThan" stopIfTrue="1">
      <formula>0</formula>
    </cfRule>
  </conditionalFormatting>
  <conditionalFormatting sqref="N250">
    <cfRule type="cellIs" priority="303" dxfId="2" operator="lessThan" stopIfTrue="1">
      <formula>0</formula>
    </cfRule>
  </conditionalFormatting>
  <conditionalFormatting sqref="N243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O175 O30 O131 O41 O186 O164 O197">
    <cfRule type="cellIs" priority="249" dxfId="1" operator="lessThan" stopIfTrue="1">
      <formula>0</formula>
    </cfRule>
    <cfRule type="cellIs" priority="250" dxfId="0" operator="greaterThan" stopIfTrue="1">
      <formula>0</formula>
    </cfRule>
  </conditionalFormatting>
  <conditionalFormatting sqref="O142">
    <cfRule type="cellIs" priority="248" dxfId="1" operator="lessThan" stopIfTrue="1">
      <formula>0</formula>
    </cfRule>
  </conditionalFormatting>
  <conditionalFormatting sqref="O37 O138 O48:O49 O182 O227 O193 O171 O204:O205 O60 O104 O216 O82 O239">
    <cfRule type="cellIs" priority="247" dxfId="2" operator="lessThan" stopIfTrue="1">
      <formula>0</formula>
    </cfRule>
  </conditionalFormatting>
  <conditionalFormatting sqref="O250">
    <cfRule type="cellIs" priority="241" dxfId="2" operator="lessThan" stopIfTrue="1">
      <formula>0</formula>
    </cfRule>
  </conditionalFormatting>
  <conditionalFormatting sqref="O243">
    <cfRule type="cellIs" priority="239" dxfId="1" operator="lessThan" stopIfTrue="1">
      <formula>0</formula>
    </cfRule>
    <cfRule type="cellIs" priority="240" dxfId="0" operator="greaterThan" stopIfTrue="1">
      <formula>0</formula>
    </cfRule>
  </conditionalFormatting>
  <conditionalFormatting sqref="P175 P30 P131 P41 P186 P164 P197">
    <cfRule type="cellIs" priority="216" dxfId="1" operator="lessThan" stopIfTrue="1">
      <formula>0</formula>
    </cfRule>
    <cfRule type="cellIs" priority="217" dxfId="0" operator="greaterThan" stopIfTrue="1">
      <formula>0</formula>
    </cfRule>
  </conditionalFormatting>
  <conditionalFormatting sqref="P142">
    <cfRule type="cellIs" priority="215" dxfId="1" operator="lessThan" stopIfTrue="1">
      <formula>0</formula>
    </cfRule>
  </conditionalFormatting>
  <conditionalFormatting sqref="P37 P138 P48:P49 P182 P227 P193 P160 P171 P204:P205 P60 P104 P216 P82 P239">
    <cfRule type="cellIs" priority="214" dxfId="2" operator="lessThan" stopIfTrue="1">
      <formula>0</formula>
    </cfRule>
  </conditionalFormatting>
  <conditionalFormatting sqref="P250">
    <cfRule type="cellIs" priority="212" dxfId="2" operator="lessThan" stopIfTrue="1">
      <formula>0</formula>
    </cfRule>
  </conditionalFormatting>
  <conditionalFormatting sqref="P243">
    <cfRule type="cellIs" priority="210" dxfId="1" operator="lessThan" stopIfTrue="1">
      <formula>0</formula>
    </cfRule>
    <cfRule type="cellIs" priority="211" dxfId="0" operator="greaterThan" stopIfTrue="1">
      <formula>0</formula>
    </cfRule>
  </conditionalFormatting>
  <conditionalFormatting sqref="N153:Q153">
    <cfRule type="cellIs" priority="208" dxfId="1" operator="lessThan" stopIfTrue="1">
      <formula>0</formula>
    </cfRule>
    <cfRule type="cellIs" priority="209" dxfId="0" operator="greaterThan" stopIfTrue="1">
      <formula>0</formula>
    </cfRule>
  </conditionalFormatting>
  <conditionalFormatting sqref="O160 Q158">
    <cfRule type="cellIs" priority="207" dxfId="2" operator="lessThan" stopIfTrue="1">
      <formula>0</formula>
    </cfRule>
  </conditionalFormatting>
  <conditionalFormatting sqref="F52:N52">
    <cfRule type="cellIs" priority="205" dxfId="1" operator="lessThan" stopIfTrue="1">
      <formula>0</formula>
    </cfRule>
    <cfRule type="cellIs" priority="206" dxfId="0" operator="greaterThan" stopIfTrue="1">
      <formula>0</formula>
    </cfRule>
  </conditionalFormatting>
  <conditionalFormatting sqref="F59:N59 F57:O57 Q57">
    <cfRule type="cellIs" priority="204" dxfId="2" operator="lessThan" stopIfTrue="1">
      <formula>0</formula>
    </cfRule>
  </conditionalFormatting>
  <conditionalFormatting sqref="O52">
    <cfRule type="cellIs" priority="202" dxfId="1" operator="lessThan" stopIfTrue="1">
      <formula>0</formula>
    </cfRule>
    <cfRule type="cellIs" priority="203" dxfId="0" operator="greaterThan" stopIfTrue="1">
      <formula>0</formula>
    </cfRule>
  </conditionalFormatting>
  <conditionalFormatting sqref="O59">
    <cfRule type="cellIs" priority="201" dxfId="2" operator="lessThan" stopIfTrue="1">
      <formula>0</formula>
    </cfRule>
  </conditionalFormatting>
  <conditionalFormatting sqref="P52">
    <cfRule type="cellIs" priority="199" dxfId="1" operator="lessThan" stopIfTrue="1">
      <formula>0</formula>
    </cfRule>
    <cfRule type="cellIs" priority="200" dxfId="0" operator="greaterThan" stopIfTrue="1">
      <formula>0</formula>
    </cfRule>
  </conditionalFormatting>
  <conditionalFormatting sqref="P59">
    <cfRule type="cellIs" priority="198" dxfId="2" operator="lessThan" stopIfTrue="1">
      <formula>0</formula>
    </cfRule>
  </conditionalFormatting>
  <conditionalFormatting sqref="F119:Q119">
    <cfRule type="cellIs" priority="187" dxfId="1" operator="lessThan" stopIfTrue="1">
      <formula>0</formula>
    </cfRule>
    <cfRule type="cellIs" priority="188" dxfId="0" operator="greaterThan" stopIfTrue="1">
      <formula>0</formula>
    </cfRule>
  </conditionalFormatting>
  <conditionalFormatting sqref="F126:N127 F124:O124 Q124">
    <cfRule type="cellIs" priority="186" dxfId="2" operator="lessThan" stopIfTrue="1">
      <formula>0</formula>
    </cfRule>
  </conditionalFormatting>
  <conditionalFormatting sqref="O126:O127">
    <cfRule type="cellIs" priority="183" dxfId="2" operator="lessThan" stopIfTrue="1">
      <formula>0</formula>
    </cfRule>
  </conditionalFormatting>
  <conditionalFormatting sqref="P126:P127">
    <cfRule type="cellIs" priority="180" dxfId="2" operator="lessThan" stopIfTrue="1">
      <formula>0</formula>
    </cfRule>
  </conditionalFormatting>
  <conditionalFormatting sqref="F108:N108">
    <cfRule type="cellIs" priority="178" dxfId="1" operator="lessThan" stopIfTrue="1">
      <formula>0</formula>
    </cfRule>
    <cfRule type="cellIs" priority="179" dxfId="0" operator="greaterThan" stopIfTrue="1">
      <formula>0</formula>
    </cfRule>
  </conditionalFormatting>
  <conditionalFormatting sqref="F115:N115 F113:Q113">
    <cfRule type="cellIs" priority="177" dxfId="2" operator="lessThan" stopIfTrue="1">
      <formula>0</formula>
    </cfRule>
  </conditionalFormatting>
  <conditionalFormatting sqref="O108">
    <cfRule type="cellIs" priority="175" dxfId="1" operator="lessThan" stopIfTrue="1">
      <formula>0</formula>
    </cfRule>
    <cfRule type="cellIs" priority="176" dxfId="0" operator="greaterThan" stopIfTrue="1">
      <formula>0</formula>
    </cfRule>
  </conditionalFormatting>
  <conditionalFormatting sqref="O115">
    <cfRule type="cellIs" priority="174" dxfId="2" operator="lessThan" stopIfTrue="1">
      <formula>0</formula>
    </cfRule>
  </conditionalFormatting>
  <conditionalFormatting sqref="P115">
    <cfRule type="cellIs" priority="171" dxfId="2" operator="lessThan" stopIfTrue="1">
      <formula>0</formula>
    </cfRule>
  </conditionalFormatting>
  <conditionalFormatting sqref="F96:N96">
    <cfRule type="cellIs" priority="169" dxfId="1" operator="lessThan" stopIfTrue="1">
      <formula>0</formula>
    </cfRule>
    <cfRule type="cellIs" priority="170" dxfId="0" operator="greaterThan" stopIfTrue="1">
      <formula>0</formula>
    </cfRule>
  </conditionalFormatting>
  <conditionalFormatting sqref="F103:N103 F101:O101">
    <cfRule type="cellIs" priority="168" dxfId="2" operator="lessThan" stopIfTrue="1">
      <formula>0</formula>
    </cfRule>
  </conditionalFormatting>
  <conditionalFormatting sqref="O96">
    <cfRule type="cellIs" priority="166" dxfId="1" operator="lessThan" stopIfTrue="1">
      <formula>0</formula>
    </cfRule>
    <cfRule type="cellIs" priority="167" dxfId="0" operator="greaterThan" stopIfTrue="1">
      <formula>0</formula>
    </cfRule>
  </conditionalFormatting>
  <conditionalFormatting sqref="O103">
    <cfRule type="cellIs" priority="165" dxfId="2" operator="lessThan" stopIfTrue="1">
      <formula>0</formula>
    </cfRule>
  </conditionalFormatting>
  <conditionalFormatting sqref="P96">
    <cfRule type="cellIs" priority="163" dxfId="1" operator="lessThan" stopIfTrue="1">
      <formula>0</formula>
    </cfRule>
    <cfRule type="cellIs" priority="164" dxfId="0" operator="greaterThan" stopIfTrue="1">
      <formula>0</formula>
    </cfRule>
  </conditionalFormatting>
  <conditionalFormatting sqref="P103">
    <cfRule type="cellIs" priority="162" dxfId="2" operator="lessThan" stopIfTrue="1">
      <formula>0</formula>
    </cfRule>
  </conditionalFormatting>
  <conditionalFormatting sqref="F85:N85">
    <cfRule type="cellIs" priority="151" dxfId="1" operator="lessThan" stopIfTrue="1">
      <formula>0</formula>
    </cfRule>
    <cfRule type="cellIs" priority="152" dxfId="0" operator="greaterThan" stopIfTrue="1">
      <formula>0</formula>
    </cfRule>
  </conditionalFormatting>
  <conditionalFormatting sqref="F92:N93 F90:O90 Q90">
    <cfRule type="cellIs" priority="150" dxfId="2" operator="lessThan" stopIfTrue="1">
      <formula>0</formula>
    </cfRule>
  </conditionalFormatting>
  <conditionalFormatting sqref="O85">
    <cfRule type="cellIs" priority="148" dxfId="1" operator="lessThan" stopIfTrue="1">
      <formula>0</formula>
    </cfRule>
    <cfRule type="cellIs" priority="149" dxfId="0" operator="greaterThan" stopIfTrue="1">
      <formula>0</formula>
    </cfRule>
  </conditionalFormatting>
  <conditionalFormatting sqref="O92:O93">
    <cfRule type="cellIs" priority="147" dxfId="2" operator="lessThan" stopIfTrue="1">
      <formula>0</formula>
    </cfRule>
  </conditionalFormatting>
  <conditionalFormatting sqref="P85">
    <cfRule type="cellIs" priority="145" dxfId="1" operator="lessThan" stopIfTrue="1">
      <formula>0</formula>
    </cfRule>
    <cfRule type="cellIs" priority="146" dxfId="0" operator="greaterThan" stopIfTrue="1">
      <formula>0</formula>
    </cfRule>
  </conditionalFormatting>
  <conditionalFormatting sqref="P92:P93">
    <cfRule type="cellIs" priority="144" dxfId="2" operator="lessThan" stopIfTrue="1">
      <formula>0</formula>
    </cfRule>
  </conditionalFormatting>
  <conditionalFormatting sqref="F208:N208">
    <cfRule type="cellIs" priority="142" dxfId="1" operator="lessThan" stopIfTrue="1">
      <formula>0</formula>
    </cfRule>
    <cfRule type="cellIs" priority="143" dxfId="0" operator="greaterThan" stopIfTrue="1">
      <formula>0</formula>
    </cfRule>
  </conditionalFormatting>
  <conditionalFormatting sqref="F215:N215 F213:O213 Q213">
    <cfRule type="cellIs" priority="141" dxfId="2" operator="lessThan" stopIfTrue="1">
      <formula>0</formula>
    </cfRule>
  </conditionalFormatting>
  <conditionalFormatting sqref="O208">
    <cfRule type="cellIs" priority="139" dxfId="1" operator="lessThan" stopIfTrue="1">
      <formula>0</formula>
    </cfRule>
    <cfRule type="cellIs" priority="140" dxfId="0" operator="greaterThan" stopIfTrue="1">
      <formula>0</formula>
    </cfRule>
  </conditionalFormatting>
  <conditionalFormatting sqref="O215">
    <cfRule type="cellIs" priority="138" dxfId="2" operator="lessThan" stopIfTrue="1">
      <formula>0</formula>
    </cfRule>
  </conditionalFormatting>
  <conditionalFormatting sqref="P208">
    <cfRule type="cellIs" priority="136" dxfId="1" operator="lessThan" stopIfTrue="1">
      <formula>0</formula>
    </cfRule>
    <cfRule type="cellIs" priority="137" dxfId="0" operator="greaterThan" stopIfTrue="1">
      <formula>0</formula>
    </cfRule>
  </conditionalFormatting>
  <conditionalFormatting sqref="P215">
    <cfRule type="cellIs" priority="135" dxfId="2" operator="lessThan" stopIfTrue="1">
      <formula>0</formula>
    </cfRule>
  </conditionalFormatting>
  <conditionalFormatting sqref="F63:N63">
    <cfRule type="cellIs" priority="133" dxfId="1" operator="lessThan" stopIfTrue="1">
      <formula>0</formula>
    </cfRule>
    <cfRule type="cellIs" priority="134" dxfId="0" operator="greaterThan" stopIfTrue="1">
      <formula>0</formula>
    </cfRule>
  </conditionalFormatting>
  <conditionalFormatting sqref="F70:N71 F68:O68 F73:N74 F76:N79 F75:J75 F81:N81 F80:J80">
    <cfRule type="cellIs" priority="132" dxfId="2" operator="lessThan" stopIfTrue="1">
      <formula>0</formula>
    </cfRule>
  </conditionalFormatting>
  <conditionalFormatting sqref="O63">
    <cfRule type="cellIs" priority="130" dxfId="1" operator="lessThan" stopIfTrue="1">
      <formula>0</formula>
    </cfRule>
    <cfRule type="cellIs" priority="131" dxfId="0" operator="greaterThan" stopIfTrue="1">
      <formula>0</formula>
    </cfRule>
  </conditionalFormatting>
  <conditionalFormatting sqref="O70:O71 O73:O74 O76:O79 O81">
    <cfRule type="cellIs" priority="129" dxfId="2" operator="lessThan" stopIfTrue="1">
      <formula>0</formula>
    </cfRule>
  </conditionalFormatting>
  <conditionalFormatting sqref="P63">
    <cfRule type="cellIs" priority="127" dxfId="1" operator="lessThan" stopIfTrue="1">
      <formula>0</formula>
    </cfRule>
    <cfRule type="cellIs" priority="128" dxfId="0" operator="greaterThan" stopIfTrue="1">
      <formula>0</formula>
    </cfRule>
  </conditionalFormatting>
  <conditionalFormatting sqref="P70:P71 P73:P74 P76:P79 P81">
    <cfRule type="cellIs" priority="126" dxfId="2" operator="lessThan" stopIfTrue="1">
      <formula>0</formula>
    </cfRule>
  </conditionalFormatting>
  <conditionalFormatting sqref="Q116">
    <cfRule type="cellIs" priority="125" dxfId="2" operator="lessThan" stopIfTrue="1">
      <formula>0</formula>
    </cfRule>
  </conditionalFormatting>
  <conditionalFormatting sqref="Q175 Q30 Q131 Q41 Q186 Q164 Q197">
    <cfRule type="cellIs" priority="123" dxfId="1" operator="lessThan" stopIfTrue="1">
      <formula>0</formula>
    </cfRule>
    <cfRule type="cellIs" priority="124" dxfId="0" operator="greaterThan" stopIfTrue="1">
      <formula>0</formula>
    </cfRule>
  </conditionalFormatting>
  <conditionalFormatting sqref="Q142">
    <cfRule type="cellIs" priority="122" dxfId="1" operator="lessThan" stopIfTrue="1">
      <formula>0</formula>
    </cfRule>
  </conditionalFormatting>
  <conditionalFormatting sqref="Q37 Q138 Q48:Q49 Q182 Q227 Q193 Q160 Q171 Q204:Q205 Q60 Q104 Q216 Q82 Q239">
    <cfRule type="cellIs" priority="121" dxfId="2" operator="lessThan" stopIfTrue="1">
      <formula>0</formula>
    </cfRule>
  </conditionalFormatting>
  <conditionalFormatting sqref="Q250">
    <cfRule type="cellIs" priority="119" dxfId="2" operator="lessThan" stopIfTrue="1">
      <formula>0</formula>
    </cfRule>
  </conditionalFormatting>
  <conditionalFormatting sqref="Q243">
    <cfRule type="cellIs" priority="117" dxfId="1" operator="lessThan" stopIfTrue="1">
      <formula>0</formula>
    </cfRule>
    <cfRule type="cellIs" priority="118" dxfId="0" operator="greaterThan" stopIfTrue="1">
      <formula>0</formula>
    </cfRule>
  </conditionalFormatting>
  <conditionalFormatting sqref="Q52">
    <cfRule type="cellIs" priority="115" dxfId="1" operator="lessThan" stopIfTrue="1">
      <formula>0</formula>
    </cfRule>
    <cfRule type="cellIs" priority="116" dxfId="0" operator="greaterThan" stopIfTrue="1">
      <formula>0</formula>
    </cfRule>
  </conditionalFormatting>
  <conditionalFormatting sqref="Q59">
    <cfRule type="cellIs" priority="114" dxfId="2" operator="lessThan" stopIfTrue="1">
      <formula>0</formula>
    </cfRule>
  </conditionalFormatting>
  <conditionalFormatting sqref="Q126:Q127">
    <cfRule type="cellIs" priority="111" dxfId="2" operator="lessThan" stopIfTrue="1">
      <formula>0</formula>
    </cfRule>
  </conditionalFormatting>
  <conditionalFormatting sqref="Q115">
    <cfRule type="cellIs" priority="108" dxfId="2" operator="lessThan" stopIfTrue="1">
      <formula>0</formula>
    </cfRule>
  </conditionalFormatting>
  <conditionalFormatting sqref="Q96">
    <cfRule type="cellIs" priority="106" dxfId="1" operator="lessThan" stopIfTrue="1">
      <formula>0</formula>
    </cfRule>
    <cfRule type="cellIs" priority="107" dxfId="0" operator="greaterThan" stopIfTrue="1">
      <formula>0</formula>
    </cfRule>
  </conditionalFormatting>
  <conditionalFormatting sqref="Q103">
    <cfRule type="cellIs" priority="105" dxfId="2" operator="lessThan" stopIfTrue="1">
      <formula>0</formula>
    </cfRule>
  </conditionalFormatting>
  <conditionalFormatting sqref="Q85">
    <cfRule type="cellIs" priority="103" dxfId="1" operator="lessThan" stopIfTrue="1">
      <formula>0</formula>
    </cfRule>
    <cfRule type="cellIs" priority="104" dxfId="0" operator="greaterThan" stopIfTrue="1">
      <formula>0</formula>
    </cfRule>
  </conditionalFormatting>
  <conditionalFormatting sqref="Q92:Q93">
    <cfRule type="cellIs" priority="102" dxfId="2" operator="lessThan" stopIfTrue="1">
      <formula>0</formula>
    </cfRule>
  </conditionalFormatting>
  <conditionalFormatting sqref="Q208">
    <cfRule type="cellIs" priority="100" dxfId="1" operator="lessThan" stopIfTrue="1">
      <formula>0</formula>
    </cfRule>
    <cfRule type="cellIs" priority="101" dxfId="0" operator="greaterThan" stopIfTrue="1">
      <formula>0</formula>
    </cfRule>
  </conditionalFormatting>
  <conditionalFormatting sqref="Q215">
    <cfRule type="cellIs" priority="99" dxfId="2" operator="lessThan" stopIfTrue="1">
      <formula>0</formula>
    </cfRule>
  </conditionalFormatting>
  <conditionalFormatting sqref="Q63">
    <cfRule type="cellIs" priority="97" dxfId="1" operator="lessThan" stopIfTrue="1">
      <formula>0</formula>
    </cfRule>
    <cfRule type="cellIs" priority="98" dxfId="0" operator="greaterThan" stopIfTrue="1">
      <formula>0</formula>
    </cfRule>
  </conditionalFormatting>
  <conditionalFormatting sqref="Q70:Q71 Q81">
    <cfRule type="cellIs" priority="96" dxfId="2" operator="lessThan" stopIfTrue="1">
      <formula>0</formula>
    </cfRule>
  </conditionalFormatting>
  <conditionalFormatting sqref="F236:K236 M236:Q236">
    <cfRule type="cellIs" priority="91" dxfId="2" operator="lessThan" stopIfTrue="1">
      <formula>0</formula>
    </cfRule>
  </conditionalFormatting>
  <conditionalFormatting sqref="F238:M238">
    <cfRule type="cellIs" priority="90" dxfId="2" operator="lessThan" stopIfTrue="1">
      <formula>0</formula>
    </cfRule>
  </conditionalFormatting>
  <conditionalFormatting sqref="F231:M231">
    <cfRule type="cellIs" priority="88" dxfId="1" operator="lessThan" stopIfTrue="1">
      <formula>0</formula>
    </cfRule>
    <cfRule type="cellIs" priority="89" dxfId="0" operator="greaterThan" stopIfTrue="1">
      <formula>0</formula>
    </cfRule>
  </conditionalFormatting>
  <conditionalFormatting sqref="N238">
    <cfRule type="cellIs" priority="87" dxfId="2" operator="lessThan" stopIfTrue="1">
      <formula>0</formula>
    </cfRule>
  </conditionalFormatting>
  <conditionalFormatting sqref="N231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O238">
    <cfRule type="cellIs" priority="84" dxfId="2" operator="lessThan" stopIfTrue="1">
      <formula>0</formula>
    </cfRule>
  </conditionalFormatting>
  <conditionalFormatting sqref="O231">
    <cfRule type="cellIs" priority="82" dxfId="1" operator="lessThan" stopIfTrue="1">
      <formula>0</formula>
    </cfRule>
    <cfRule type="cellIs" priority="83" dxfId="0" operator="greaterThan" stopIfTrue="1">
      <formula>0</formula>
    </cfRule>
  </conditionalFormatting>
  <conditionalFormatting sqref="P238">
    <cfRule type="cellIs" priority="81" dxfId="2" operator="lessThan" stopIfTrue="1">
      <formula>0</formula>
    </cfRule>
  </conditionalFormatting>
  <conditionalFormatting sqref="P231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Q238">
    <cfRule type="cellIs" priority="78" dxfId="2" operator="lessThan" stopIfTrue="1">
      <formula>0</formula>
    </cfRule>
  </conditionalFormatting>
  <conditionalFormatting sqref="Q231">
    <cfRule type="cellIs" priority="76" dxfId="1" operator="lessThan" stopIfTrue="1">
      <formula>0</formula>
    </cfRule>
    <cfRule type="cellIs" priority="77" dxfId="0" operator="greaterThan" stopIfTrue="1">
      <formula>0</formula>
    </cfRule>
  </conditionalFormatting>
  <conditionalFormatting sqref="F228:N228">
    <cfRule type="cellIs" priority="75" dxfId="2" operator="lessThan" stopIfTrue="1">
      <formula>0</formula>
    </cfRule>
  </conditionalFormatting>
  <conditionalFormatting sqref="O228">
    <cfRule type="cellIs" priority="74" dxfId="2" operator="lessThan" stopIfTrue="1">
      <formula>0</formula>
    </cfRule>
  </conditionalFormatting>
  <conditionalFormatting sqref="P228">
    <cfRule type="cellIs" priority="73" dxfId="2" operator="lessThan" stopIfTrue="1">
      <formula>0</formula>
    </cfRule>
  </conditionalFormatting>
  <conditionalFormatting sqref="Q228">
    <cfRule type="cellIs" priority="72" dxfId="2" operator="lessThan" stopIfTrue="1">
      <formula>0</formula>
    </cfRule>
  </conditionalFormatting>
  <conditionalFormatting sqref="R136 R35 R46 R169 R180 R191 R202 R225">
    <cfRule type="cellIs" priority="71" dxfId="2" operator="lessThan" stopIfTrue="1">
      <formula>0</formula>
    </cfRule>
  </conditionalFormatting>
  <conditionalFormatting sqref="R248">
    <cfRule type="cellIs" priority="70" dxfId="2" operator="lessThan" stopIfTrue="1">
      <formula>0</formula>
    </cfRule>
  </conditionalFormatting>
  <conditionalFormatting sqref="R153">
    <cfRule type="cellIs" priority="68" dxfId="1" operator="lessThan" stopIfTrue="1">
      <formula>0</formula>
    </cfRule>
    <cfRule type="cellIs" priority="69" dxfId="0" operator="greaterThan" stopIfTrue="1">
      <formula>0</formula>
    </cfRule>
  </conditionalFormatting>
  <conditionalFormatting sqref="R158">
    <cfRule type="cellIs" priority="67" dxfId="2" operator="lessThan" stopIfTrue="1">
      <formula>0</formula>
    </cfRule>
  </conditionalFormatting>
  <conditionalFormatting sqref="R57">
    <cfRule type="cellIs" priority="66" dxfId="2" operator="lessThan" stopIfTrue="1">
      <formula>0</formula>
    </cfRule>
  </conditionalFormatting>
  <conditionalFormatting sqref="R119">
    <cfRule type="cellIs" priority="64" dxfId="1" operator="lessThan" stopIfTrue="1">
      <formula>0</formula>
    </cfRule>
    <cfRule type="cellIs" priority="65" dxfId="0" operator="greaterThan" stopIfTrue="1">
      <formula>0</formula>
    </cfRule>
  </conditionalFormatting>
  <conditionalFormatting sqref="R124">
    <cfRule type="cellIs" priority="63" dxfId="2" operator="lessThan" stopIfTrue="1">
      <formula>0</formula>
    </cfRule>
  </conditionalFormatting>
  <conditionalFormatting sqref="R113">
    <cfRule type="cellIs" priority="62" dxfId="2" operator="lessThan" stopIfTrue="1">
      <formula>0</formula>
    </cfRule>
  </conditionalFormatting>
  <conditionalFormatting sqref="R90">
    <cfRule type="cellIs" priority="61" dxfId="2" operator="lessThan" stopIfTrue="1">
      <formula>0</formula>
    </cfRule>
  </conditionalFormatting>
  <conditionalFormatting sqref="R213">
    <cfRule type="cellIs" priority="60" dxfId="2" operator="lessThan" stopIfTrue="1">
      <formula>0</formula>
    </cfRule>
  </conditionalFormatting>
  <conditionalFormatting sqref="R116">
    <cfRule type="cellIs" priority="59" dxfId="2" operator="lessThan" stopIfTrue="1">
      <formula>0</formula>
    </cfRule>
  </conditionalFormatting>
  <conditionalFormatting sqref="R175 R30 R131 R41 R186 R164 R19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R142">
    <cfRule type="cellIs" priority="56" dxfId="1" operator="lessThan" stopIfTrue="1">
      <formula>0</formula>
    </cfRule>
  </conditionalFormatting>
  <conditionalFormatting sqref="R37 R138 R48:R49 R182 R227 R193 R160 R171 R204:R205 R60 R104 R216 R82 R239">
    <cfRule type="cellIs" priority="55" dxfId="2" operator="lessThan" stopIfTrue="1">
      <formula>0</formula>
    </cfRule>
  </conditionalFormatting>
  <conditionalFormatting sqref="R250">
    <cfRule type="cellIs" priority="54" dxfId="2" operator="lessThan" stopIfTrue="1">
      <formula>0</formula>
    </cfRule>
  </conditionalFormatting>
  <conditionalFormatting sqref="R243">
    <cfRule type="cellIs" priority="52" dxfId="1" operator="lessThan" stopIfTrue="1">
      <formula>0</formula>
    </cfRule>
    <cfRule type="cellIs" priority="53" dxfId="0" operator="greaterThan" stopIfTrue="1">
      <formula>0</formula>
    </cfRule>
  </conditionalFormatting>
  <conditionalFormatting sqref="R52">
    <cfRule type="cellIs" priority="50" dxfId="1" operator="lessThan" stopIfTrue="1">
      <formula>0</formula>
    </cfRule>
    <cfRule type="cellIs" priority="51" dxfId="0" operator="greaterThan" stopIfTrue="1">
      <formula>0</formula>
    </cfRule>
  </conditionalFormatting>
  <conditionalFormatting sqref="R59">
    <cfRule type="cellIs" priority="49" dxfId="2" operator="lessThan" stopIfTrue="1">
      <formula>0</formula>
    </cfRule>
  </conditionalFormatting>
  <conditionalFormatting sqref="R126:R127">
    <cfRule type="cellIs" priority="48" dxfId="2" operator="lessThan" stopIfTrue="1">
      <formula>0</formula>
    </cfRule>
  </conditionalFormatting>
  <conditionalFormatting sqref="R115">
    <cfRule type="cellIs" priority="47" dxfId="2" operator="lessThan" stopIfTrue="1">
      <formula>0</formula>
    </cfRule>
  </conditionalFormatting>
  <conditionalFormatting sqref="R96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R103">
    <cfRule type="cellIs" priority="44" dxfId="2" operator="lessThan" stopIfTrue="1">
      <formula>0</formula>
    </cfRule>
  </conditionalFormatting>
  <conditionalFormatting sqref="R85">
    <cfRule type="cellIs" priority="42" dxfId="1" operator="lessThan" stopIfTrue="1">
      <formula>0</formula>
    </cfRule>
    <cfRule type="cellIs" priority="43" dxfId="0" operator="greaterThan" stopIfTrue="1">
      <formula>0</formula>
    </cfRule>
  </conditionalFormatting>
  <conditionalFormatting sqref="R92:R93">
    <cfRule type="cellIs" priority="41" dxfId="2" operator="lessThan" stopIfTrue="1">
      <formula>0</formula>
    </cfRule>
  </conditionalFormatting>
  <conditionalFormatting sqref="R208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R215">
    <cfRule type="cellIs" priority="38" dxfId="2" operator="lessThan" stopIfTrue="1">
      <formula>0</formula>
    </cfRule>
  </conditionalFormatting>
  <conditionalFormatting sqref="R63">
    <cfRule type="cellIs" priority="36" dxfId="1" operator="lessThan" stopIfTrue="1">
      <formula>0</formula>
    </cfRule>
    <cfRule type="cellIs" priority="37" dxfId="0" operator="greaterThan" stopIfTrue="1">
      <formula>0</formula>
    </cfRule>
  </conditionalFormatting>
  <conditionalFormatting sqref="R70:R71">
    <cfRule type="cellIs" priority="35" dxfId="2" operator="lessThan" stopIfTrue="1">
      <formula>0</formula>
    </cfRule>
  </conditionalFormatting>
  <conditionalFormatting sqref="R236">
    <cfRule type="cellIs" priority="34" dxfId="2" operator="lessThan" stopIfTrue="1">
      <formula>0</formula>
    </cfRule>
  </conditionalFormatting>
  <conditionalFormatting sqref="R238">
    <cfRule type="cellIs" priority="33" dxfId="2" operator="lessThan" stopIfTrue="1">
      <formula>0</formula>
    </cfRule>
  </conditionalFormatting>
  <conditionalFormatting sqref="R231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R228">
    <cfRule type="cellIs" priority="30" dxfId="2" operator="lessThan" stopIfTrue="1">
      <formula>0</formula>
    </cfRule>
  </conditionalFormatting>
  <conditionalFormatting sqref="F20:N20">
    <cfRule type="cellIs" priority="28" dxfId="1" operator="lessThan" stopIfTrue="1">
      <formula>0</formula>
    </cfRule>
    <cfRule type="cellIs" priority="29" dxfId="0" operator="greaterThan" stopIfTrue="1">
      <formula>0</formula>
    </cfRule>
  </conditionalFormatting>
  <conditionalFormatting sqref="F25:N25 P25:Q25">
    <cfRule type="cellIs" priority="27" dxfId="2" operator="lessThan" stopIfTrue="1">
      <formula>0</formula>
    </cfRule>
  </conditionalFormatting>
  <conditionalFormatting sqref="O20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P20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Q20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R25">
    <cfRule type="cellIs" priority="20" dxfId="2" operator="lessThan" stopIfTrue="1">
      <formula>0</formula>
    </cfRule>
  </conditionalFormatting>
  <conditionalFormatting sqref="R20">
    <cfRule type="cellIs" priority="18" dxfId="1" operator="lessThan" stopIfTrue="1">
      <formula>0</formula>
    </cfRule>
    <cfRule type="cellIs" priority="19" dxfId="0" operator="greaterThan" stopIfTrue="1">
      <formula>0</formula>
    </cfRule>
  </conditionalFormatting>
  <conditionalFormatting sqref="Q74">
    <cfRule type="cellIs" priority="16" dxfId="1" operator="lessThan" stopIfTrue="1">
      <formula>0</formula>
    </cfRule>
    <cfRule type="cellIs" priority="17" dxfId="0" operator="greaterThan" stopIfTrue="1">
      <formula>0</formula>
    </cfRule>
  </conditionalFormatting>
  <conditionalFormatting sqref="R74">
    <cfRule type="cellIs" priority="14" dxfId="1" operator="lessThan" stopIfTrue="1">
      <formula>0</formula>
    </cfRule>
    <cfRule type="cellIs" priority="15" dxfId="0" operator="greaterThan" stopIfTrue="1">
      <formula>0</formula>
    </cfRule>
  </conditionalFormatting>
  <conditionalFormatting sqref="R81">
    <cfRule type="cellIs" priority="13" dxfId="2" operator="lessThan" stopIfTrue="1">
      <formula>0</formula>
    </cfRule>
  </conditionalFormatting>
  <conditionalFormatting sqref="F10:N10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F15:N15 P15:Q15">
    <cfRule type="cellIs" priority="10" dxfId="2" operator="lessThan" stopIfTrue="1">
      <formula>0</formula>
    </cfRule>
  </conditionalFormatting>
  <conditionalFormatting sqref="O10"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conditionalFormatting sqref="P10">
    <cfRule type="cellIs" priority="6" dxfId="1" operator="lessThan" stopIfTrue="1">
      <formula>0</formula>
    </cfRule>
    <cfRule type="cellIs" priority="7" dxfId="0" operator="greaterThan" stopIfTrue="1">
      <formula>0</formula>
    </cfRule>
  </conditionalFormatting>
  <conditionalFormatting sqref="Q10">
    <cfRule type="cellIs" priority="4" dxfId="1" operator="lessThan" stopIfTrue="1">
      <formula>0</formula>
    </cfRule>
    <cfRule type="cellIs" priority="5" dxfId="0" operator="greaterThan" stopIfTrue="1">
      <formula>0</formula>
    </cfRule>
  </conditionalFormatting>
  <conditionalFormatting sqref="R15">
    <cfRule type="cellIs" priority="3" dxfId="2" operator="lessThan" stopIfTrue="1">
      <formula>0</formula>
    </cfRule>
  </conditionalFormatting>
  <conditionalFormatting sqref="R1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15748031496062992" right="0.15748031496062992" top="0.31496062992125984" bottom="0.2755905511811024" header="0.15748031496062992" footer="0.15748031496062992"/>
  <pageSetup fitToHeight="0" fitToWidth="1" horizontalDpi="600" verticalDpi="600" orientation="landscape" paperSize="9" r:id="rId1"/>
  <rowBreaks count="2" manualBreakCount="2">
    <brk id="127" min="1" max="16" man="1"/>
    <brk id="182" min="1" max="16" man="1"/>
  </rowBreaks>
  <ignoredErrors>
    <ignoredError sqref="K63:P63 K30:P30 L41:P41 K52:P52 K85:P85 K96:P96 K108:P108 K119 G131:P131 G164:P164 K186:P186 G197:P197 G208:P208 J220 K243:P2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B2:P118"/>
  <sheetViews>
    <sheetView zoomScale="90" zoomScaleNormal="90" zoomScalePageLayoutView="0" workbookViewId="0" topLeftCell="A1">
      <pane xSplit="5" ySplit="5" topLeftCell="F79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R13" sqref="R13"/>
    </sheetView>
  </sheetViews>
  <sheetFormatPr defaultColWidth="9.140625" defaultRowHeight="12.75"/>
  <cols>
    <col min="1" max="1" width="3.7109375" style="254" customWidth="1"/>
    <col min="2" max="2" width="57.00390625" style="255" customWidth="1"/>
    <col min="3" max="3" width="19.8515625" style="378" hidden="1" customWidth="1"/>
    <col min="4" max="4" width="13.7109375" style="255" hidden="1" customWidth="1"/>
    <col min="5" max="5" width="6.421875" style="255" hidden="1" customWidth="1"/>
    <col min="6" max="6" width="18.8515625" style="378" customWidth="1"/>
    <col min="7" max="7" width="20.28125" style="378" bestFit="1" customWidth="1"/>
    <col min="8" max="9" width="16.140625" style="378" customWidth="1"/>
    <col min="10" max="10" width="16.7109375" style="379" customWidth="1"/>
    <col min="11" max="11" width="25.00390625" style="255" customWidth="1"/>
    <col min="12" max="12" width="13.421875" style="254" hidden="1" customWidth="1"/>
    <col min="13" max="13" width="12.28125" style="254" hidden="1" customWidth="1"/>
    <col min="14" max="18" width="0" style="254" hidden="1" customWidth="1"/>
    <col min="19" max="16384" width="9.140625" style="254" customWidth="1"/>
  </cols>
  <sheetData>
    <row r="1" ht="10.5" customHeight="1" thickBot="1"/>
    <row r="2" spans="2:11" ht="15.75">
      <c r="B2" s="248" t="s">
        <v>710</v>
      </c>
      <c r="C2" s="249"/>
      <c r="D2" s="250"/>
      <c r="E2" s="250"/>
      <c r="F2" s="249"/>
      <c r="G2" s="249"/>
      <c r="H2" s="251"/>
      <c r="I2" s="249"/>
      <c r="J2" s="252"/>
      <c r="K2" s="253"/>
    </row>
    <row r="3" spans="2:11" ht="15.75">
      <c r="B3" s="256"/>
      <c r="C3" s="257"/>
      <c r="D3" s="258"/>
      <c r="E3" s="258"/>
      <c r="F3" s="257"/>
      <c r="G3" s="257"/>
      <c r="H3" s="259"/>
      <c r="I3" s="257"/>
      <c r="J3" s="260"/>
      <c r="K3" s="261"/>
    </row>
    <row r="4" spans="2:11" ht="15.75">
      <c r="B4" s="262" t="s">
        <v>93</v>
      </c>
      <c r="C4" s="263" t="s">
        <v>150</v>
      </c>
      <c r="D4" s="264" t="s">
        <v>151</v>
      </c>
      <c r="E4" s="265" t="s">
        <v>152</v>
      </c>
      <c r="F4" s="266" t="s">
        <v>199</v>
      </c>
      <c r="G4" s="267" t="s">
        <v>200</v>
      </c>
      <c r="H4" s="267" t="s">
        <v>200</v>
      </c>
      <c r="I4" s="267" t="s">
        <v>257</v>
      </c>
      <c r="J4" s="266" t="s">
        <v>201</v>
      </c>
      <c r="K4" s="268" t="s">
        <v>202</v>
      </c>
    </row>
    <row r="5" spans="2:11" ht="15.75">
      <c r="B5" s="256"/>
      <c r="C5" s="269" t="s">
        <v>169</v>
      </c>
      <c r="D5" s="270" t="s">
        <v>170</v>
      </c>
      <c r="E5" s="271" t="s">
        <v>171</v>
      </c>
      <c r="F5" s="272" t="s">
        <v>172</v>
      </c>
      <c r="G5" s="273" t="s">
        <v>203</v>
      </c>
      <c r="H5" s="273" t="s">
        <v>204</v>
      </c>
      <c r="I5" s="273" t="s">
        <v>258</v>
      </c>
      <c r="J5" s="274"/>
      <c r="K5" s="275" t="s">
        <v>205</v>
      </c>
    </row>
    <row r="6" spans="2:11" s="238" customFormat="1" ht="13.5" customHeight="1">
      <c r="B6" s="279"/>
      <c r="C6" s="280"/>
      <c r="D6" s="281"/>
      <c r="E6" s="258"/>
      <c r="F6" s="276"/>
      <c r="G6" s="276"/>
      <c r="H6" s="276"/>
      <c r="I6" s="276"/>
      <c r="J6" s="277"/>
      <c r="K6" s="278"/>
    </row>
    <row r="7" spans="2:11" s="238" customFormat="1" ht="13.5" customHeight="1">
      <c r="B7" s="279" t="str">
        <f>Riepilogo!B8</f>
        <v>MERCHANT BANK - GESTIONE FONDO CAPITALE DI RISCHIO</v>
      </c>
      <c r="C7" s="283"/>
      <c r="D7" s="281"/>
      <c r="E7" s="258"/>
      <c r="F7" s="276"/>
      <c r="G7" s="259"/>
      <c r="H7" s="276"/>
      <c r="I7" s="276"/>
      <c r="J7" s="277"/>
      <c r="K7" s="278"/>
    </row>
    <row r="8" spans="2:11" s="238" customFormat="1" ht="13.5" customHeight="1">
      <c r="B8" s="279"/>
      <c r="C8" s="283"/>
      <c r="D8" s="281"/>
      <c r="E8" s="258"/>
      <c r="F8" s="276"/>
      <c r="G8" s="259"/>
      <c r="H8" s="276"/>
      <c r="I8" s="276"/>
      <c r="J8" s="277"/>
      <c r="K8" s="278"/>
    </row>
    <row r="9" spans="2:11" s="293" customFormat="1" ht="16.5">
      <c r="B9" s="284" t="str">
        <f>Riepilogo!D44</f>
        <v>Adaptica S.r.l.</v>
      </c>
      <c r="C9" s="285" t="e">
        <v>#REF!</v>
      </c>
      <c r="D9" s="286" t="s">
        <v>183</v>
      </c>
      <c r="E9" s="287" t="e">
        <v>#REF!</v>
      </c>
      <c r="F9" s="288">
        <f>Riepilogo!I44</f>
        <v>37314.12</v>
      </c>
      <c r="G9" s="289"/>
      <c r="H9" s="290"/>
      <c r="I9" s="290"/>
      <c r="J9" s="291">
        <f>F9</f>
        <v>37314.12</v>
      </c>
      <c r="K9" s="292" t="s">
        <v>183</v>
      </c>
    </row>
    <row r="10" spans="2:11" s="238" customFormat="1" ht="13.5" customHeight="1">
      <c r="B10" s="294"/>
      <c r="C10" s="283"/>
      <c r="D10" s="295"/>
      <c r="E10" s="296"/>
      <c r="F10" s="280"/>
      <c r="G10" s="283"/>
      <c r="H10" s="280"/>
      <c r="I10" s="280"/>
      <c r="J10" s="297"/>
      <c r="K10" s="298"/>
    </row>
    <row r="11" spans="2:11" s="293" customFormat="1" ht="16.5" hidden="1">
      <c r="B11" s="299" t="str">
        <f>Riepilogo!D10</f>
        <v>Cielle S.r.l.</v>
      </c>
      <c r="C11" s="300"/>
      <c r="D11" s="301"/>
      <c r="E11" s="302"/>
      <c r="F11" s="303">
        <f>Riepilogo!I10</f>
        <v>0</v>
      </c>
      <c r="G11" s="304"/>
      <c r="H11" s="305"/>
      <c r="I11" s="305"/>
      <c r="J11" s="306">
        <f>F11</f>
        <v>0</v>
      </c>
      <c r="K11" s="307" t="s">
        <v>183</v>
      </c>
    </row>
    <row r="12" spans="2:11" s="238" customFormat="1" ht="13.5" customHeight="1" hidden="1">
      <c r="B12" s="294"/>
      <c r="C12" s="283"/>
      <c r="D12" s="295"/>
      <c r="E12" s="296"/>
      <c r="F12" s="280"/>
      <c r="G12" s="283"/>
      <c r="H12" s="280"/>
      <c r="I12" s="280"/>
      <c r="J12" s="297"/>
      <c r="K12" s="298"/>
    </row>
    <row r="13" spans="2:11" s="293" customFormat="1" ht="16.5">
      <c r="B13" s="299" t="str">
        <f>Riepilogo!D12</f>
        <v>Develon S.r.l.</v>
      </c>
      <c r="C13" s="300"/>
      <c r="D13" s="301"/>
      <c r="E13" s="302"/>
      <c r="F13" s="303">
        <f>Riepilogo!I12</f>
        <v>224164.07</v>
      </c>
      <c r="G13" s="304"/>
      <c r="H13" s="305"/>
      <c r="I13" s="305"/>
      <c r="J13" s="306">
        <f>F13</f>
        <v>224164.07</v>
      </c>
      <c r="K13" s="307" t="s">
        <v>183</v>
      </c>
    </row>
    <row r="14" spans="2:11" s="238" customFormat="1" ht="13.5" customHeight="1" hidden="1">
      <c r="B14" s="294"/>
      <c r="C14" s="283"/>
      <c r="D14" s="295"/>
      <c r="E14" s="296"/>
      <c r="F14" s="280"/>
      <c r="G14" s="283"/>
      <c r="H14" s="280"/>
      <c r="I14" s="280"/>
      <c r="J14" s="297"/>
      <c r="K14" s="298"/>
    </row>
    <row r="15" spans="2:11" s="293" customFormat="1" ht="16.5" hidden="1">
      <c r="B15" s="299" t="str">
        <f>Riepilogo!D14</f>
        <v>Garmont International S.r.l.</v>
      </c>
      <c r="C15" s="300"/>
      <c r="D15" s="301"/>
      <c r="E15" s="302"/>
      <c r="F15" s="303">
        <f>Riepilogo!I14</f>
        <v>0</v>
      </c>
      <c r="G15" s="304"/>
      <c r="H15" s="305"/>
      <c r="I15" s="305"/>
      <c r="J15" s="306">
        <f>F15</f>
        <v>0</v>
      </c>
      <c r="K15" s="307" t="s">
        <v>183</v>
      </c>
    </row>
    <row r="16" spans="2:11" s="238" customFormat="1" ht="13.5" customHeight="1">
      <c r="B16" s="294"/>
      <c r="C16" s="283"/>
      <c r="D16" s="295"/>
      <c r="E16" s="296"/>
      <c r="F16" s="280"/>
      <c r="G16" s="283"/>
      <c r="H16" s="280"/>
      <c r="I16" s="280"/>
      <c r="J16" s="297"/>
      <c r="K16" s="298"/>
    </row>
    <row r="17" spans="2:11" s="293" customFormat="1" ht="16.5">
      <c r="B17" s="299" t="str">
        <f>Riepilogo!D16</f>
        <v>Interplanet S.r.l.</v>
      </c>
      <c r="C17" s="300"/>
      <c r="D17" s="301"/>
      <c r="E17" s="302"/>
      <c r="F17" s="303">
        <f>Riepilogo!I16</f>
        <v>245455</v>
      </c>
      <c r="G17" s="304"/>
      <c r="H17" s="305"/>
      <c r="I17" s="305"/>
      <c r="J17" s="306">
        <f>F17</f>
        <v>245455</v>
      </c>
      <c r="K17" s="307" t="s">
        <v>183</v>
      </c>
    </row>
    <row r="18" spans="2:11" s="238" customFormat="1" ht="13.5" customHeight="1">
      <c r="B18" s="294"/>
      <c r="C18" s="283"/>
      <c r="D18" s="295"/>
      <c r="E18" s="296"/>
      <c r="F18" s="280"/>
      <c r="G18" s="283"/>
      <c r="H18" s="280"/>
      <c r="I18" s="280"/>
      <c r="J18" s="297"/>
      <c r="K18" s="298"/>
    </row>
    <row r="19" spans="2:11" s="293" customFormat="1" ht="16.5">
      <c r="B19" s="299" t="str">
        <f>Riepilogo!D18</f>
        <v>Neurimpulse S.r.l.</v>
      </c>
      <c r="C19" s="300"/>
      <c r="D19" s="301"/>
      <c r="E19" s="302"/>
      <c r="F19" s="303">
        <f>Riepilogo!I18</f>
        <v>600000</v>
      </c>
      <c r="G19" s="304"/>
      <c r="H19" s="305"/>
      <c r="I19" s="305"/>
      <c r="J19" s="306">
        <f>F19</f>
        <v>600000</v>
      </c>
      <c r="K19" s="307" t="s">
        <v>183</v>
      </c>
    </row>
    <row r="20" spans="2:11" s="238" customFormat="1" ht="13.5" customHeight="1">
      <c r="B20" s="294"/>
      <c r="C20" s="283"/>
      <c r="D20" s="295"/>
      <c r="E20" s="296"/>
      <c r="F20" s="280"/>
      <c r="G20" s="283"/>
      <c r="H20" s="280"/>
      <c r="I20" s="280"/>
      <c r="J20" s="297"/>
      <c r="K20" s="298"/>
    </row>
    <row r="21" spans="2:11" s="293" customFormat="1" ht="16.5">
      <c r="B21" s="299" t="str">
        <f>Riepilogo!D42</f>
        <v>Nuove Energie S.r.l.</v>
      </c>
      <c r="C21" s="300"/>
      <c r="D21" s="301"/>
      <c r="E21" s="302"/>
      <c r="F21" s="303">
        <f>Riepilogo!I42</f>
        <v>380000</v>
      </c>
      <c r="G21" s="303"/>
      <c r="H21" s="305"/>
      <c r="I21" s="305"/>
      <c r="J21" s="306">
        <f>F21</f>
        <v>380000</v>
      </c>
      <c r="K21" s="307" t="s">
        <v>183</v>
      </c>
    </row>
    <row r="22" spans="2:11" s="238" customFormat="1" ht="13.5" customHeight="1">
      <c r="B22" s="294"/>
      <c r="C22" s="283"/>
      <c r="D22" s="295"/>
      <c r="E22" s="296"/>
      <c r="F22" s="280"/>
      <c r="G22" s="283"/>
      <c r="H22" s="280"/>
      <c r="I22" s="280"/>
      <c r="J22" s="297"/>
      <c r="K22" s="298"/>
    </row>
    <row r="23" spans="2:11" s="293" customFormat="1" ht="16.5">
      <c r="B23" s="299" t="str">
        <f>Riepilogo!D20</f>
        <v>Officina Stellare S.r.l.</v>
      </c>
      <c r="C23" s="300"/>
      <c r="D23" s="301"/>
      <c r="E23" s="302"/>
      <c r="F23" s="303">
        <f>Riepilogo!I20</f>
        <v>215385</v>
      </c>
      <c r="G23" s="303"/>
      <c r="H23" s="305"/>
      <c r="I23" s="305"/>
      <c r="J23" s="306">
        <f>F23</f>
        <v>215385</v>
      </c>
      <c r="K23" s="307" t="s">
        <v>183</v>
      </c>
    </row>
    <row r="24" spans="2:11" s="238" customFormat="1" ht="13.5" customHeight="1">
      <c r="B24" s="294"/>
      <c r="C24" s="283"/>
      <c r="D24" s="295"/>
      <c r="E24" s="296"/>
      <c r="F24" s="280"/>
      <c r="G24" s="283"/>
      <c r="H24" s="280"/>
      <c r="I24" s="280"/>
      <c r="J24" s="297"/>
      <c r="K24" s="298"/>
    </row>
    <row r="25" spans="2:11" s="293" customFormat="1" ht="16.5">
      <c r="B25" s="299" t="str">
        <f>Riepilogo!D22</f>
        <v>OTS S.r.l.</v>
      </c>
      <c r="C25" s="300"/>
      <c r="D25" s="301"/>
      <c r="E25" s="302"/>
      <c r="F25" s="303">
        <f>Riepilogo!I22</f>
        <v>288235.29</v>
      </c>
      <c r="G25" s="303"/>
      <c r="H25" s="305"/>
      <c r="I25" s="305"/>
      <c r="J25" s="306">
        <f>F25</f>
        <v>288235.29</v>
      </c>
      <c r="K25" s="307" t="s">
        <v>183</v>
      </c>
    </row>
    <row r="26" spans="2:11" s="238" customFormat="1" ht="13.5" customHeight="1">
      <c r="B26" s="294"/>
      <c r="C26" s="283"/>
      <c r="D26" s="295"/>
      <c r="E26" s="296"/>
      <c r="F26" s="280"/>
      <c r="G26" s="283"/>
      <c r="H26" s="280"/>
      <c r="I26" s="280"/>
      <c r="J26" s="297"/>
      <c r="K26" s="298"/>
    </row>
    <row r="27" spans="2:13" s="293" customFormat="1" ht="31.5">
      <c r="B27" s="299" t="str">
        <f>Riepilogo!D24</f>
        <v>SI14 S.p.A.</v>
      </c>
      <c r="C27" s="300"/>
      <c r="D27" s="301"/>
      <c r="E27" s="302"/>
      <c r="F27" s="303">
        <f>Riepilogo!I24</f>
        <v>0</v>
      </c>
      <c r="G27" s="303"/>
      <c r="H27" s="305"/>
      <c r="I27" s="305"/>
      <c r="J27" s="306"/>
      <c r="K27" s="1126" t="s">
        <v>700</v>
      </c>
      <c r="L27" s="1095" t="s">
        <v>679</v>
      </c>
      <c r="M27" s="238"/>
    </row>
    <row r="28" spans="2:13" s="293" customFormat="1" ht="16.5">
      <c r="B28" s="1120"/>
      <c r="C28" s="1121"/>
      <c r="D28" s="1122"/>
      <c r="E28" s="1123"/>
      <c r="F28" s="280"/>
      <c r="G28" s="283"/>
      <c r="H28" s="1124"/>
      <c r="I28" s="1124"/>
      <c r="J28" s="297"/>
      <c r="K28" s="1125"/>
      <c r="L28" s="238"/>
      <c r="M28" s="238"/>
    </row>
    <row r="29" spans="2:13" s="293" customFormat="1" ht="16.5">
      <c r="B29" s="299" t="s">
        <v>689</v>
      </c>
      <c r="C29" s="300"/>
      <c r="D29" s="301"/>
      <c r="E29" s="302"/>
      <c r="F29" s="303">
        <f>Riepilogo!I26</f>
        <v>83173.26</v>
      </c>
      <c r="G29" s="1119"/>
      <c r="H29" s="305"/>
      <c r="I29" s="305"/>
      <c r="J29" s="306"/>
      <c r="K29" s="307"/>
      <c r="L29" s="1095"/>
      <c r="M29" s="238"/>
    </row>
    <row r="30" spans="2:11" s="238" customFormat="1" ht="13.5" customHeight="1">
      <c r="B30" s="294"/>
      <c r="C30" s="283"/>
      <c r="D30" s="295"/>
      <c r="E30" s="296"/>
      <c r="F30" s="280"/>
      <c r="G30" s="283"/>
      <c r="H30" s="280"/>
      <c r="I30" s="280"/>
      <c r="J30" s="297"/>
      <c r="K30" s="298"/>
    </row>
    <row r="31" spans="2:11" s="293" customFormat="1" ht="16.5">
      <c r="B31" s="299" t="str">
        <f>Riepilogo!D46</f>
        <v>Walking Pipe S.p.A. in liquidazione</v>
      </c>
      <c r="C31" s="300"/>
      <c r="D31" s="301"/>
      <c r="E31" s="302"/>
      <c r="F31" s="303">
        <f>Riepilogo!I46</f>
        <v>800000</v>
      </c>
      <c r="G31" s="303">
        <f>F31</f>
        <v>800000</v>
      </c>
      <c r="H31" s="305"/>
      <c r="I31" s="305"/>
      <c r="J31" s="311"/>
      <c r="K31" s="307"/>
    </row>
    <row r="32" spans="2:11" s="238" customFormat="1" ht="13.5" customHeight="1">
      <c r="B32" s="294"/>
      <c r="C32" s="283"/>
      <c r="D32" s="295"/>
      <c r="E32" s="296"/>
      <c r="F32" s="280"/>
      <c r="G32" s="283"/>
      <c r="H32" s="280"/>
      <c r="I32" s="280"/>
      <c r="J32" s="297"/>
      <c r="K32" s="298"/>
    </row>
    <row r="33" spans="2:12" s="293" customFormat="1" ht="16.5">
      <c r="B33" s="299" t="str">
        <f>Riepilogo!D28</f>
        <v>Xeptagen S.p.A.</v>
      </c>
      <c r="C33" s="300"/>
      <c r="D33" s="301"/>
      <c r="E33" s="302"/>
      <c r="F33" s="303">
        <f>Riepilogo!I28</f>
        <v>216278</v>
      </c>
      <c r="G33" s="303">
        <f>F33</f>
        <v>216278</v>
      </c>
      <c r="H33" s="305"/>
      <c r="I33" s="305"/>
      <c r="J33" s="306"/>
      <c r="K33" s="307" t="s">
        <v>391</v>
      </c>
      <c r="L33" s="1095" t="s">
        <v>679</v>
      </c>
    </row>
    <row r="34" spans="2:11" s="238" customFormat="1" ht="13.5" customHeight="1">
      <c r="B34" s="294"/>
      <c r="C34" s="283"/>
      <c r="D34" s="295"/>
      <c r="E34" s="296"/>
      <c r="F34" s="280"/>
      <c r="G34" s="283"/>
      <c r="H34" s="280"/>
      <c r="I34" s="280"/>
      <c r="J34" s="297"/>
      <c r="K34" s="298"/>
    </row>
    <row r="35" spans="2:11" s="293" customFormat="1" ht="16.5">
      <c r="B35" s="299" t="str">
        <f>Riepilogo!D30</f>
        <v>Zen Fonderie S.r.l.</v>
      </c>
      <c r="C35" s="300"/>
      <c r="D35" s="301"/>
      <c r="E35" s="302"/>
      <c r="F35" s="303">
        <f>Riepilogo!I30</f>
        <v>63378</v>
      </c>
      <c r="G35" s="303"/>
      <c r="H35" s="305"/>
      <c r="I35" s="305"/>
      <c r="J35" s="306">
        <f>F35</f>
        <v>63378</v>
      </c>
      <c r="K35" s="307" t="s">
        <v>183</v>
      </c>
    </row>
    <row r="36" spans="2:11" s="238" customFormat="1" ht="13.5" customHeight="1">
      <c r="B36" s="294"/>
      <c r="C36" s="283"/>
      <c r="D36" s="295"/>
      <c r="E36" s="296"/>
      <c r="F36" s="280"/>
      <c r="G36" s="283"/>
      <c r="H36" s="280"/>
      <c r="I36" s="280"/>
      <c r="J36" s="297"/>
      <c r="K36" s="298"/>
    </row>
    <row r="37" spans="2:11" s="293" customFormat="1" ht="16.5">
      <c r="B37" s="299" t="str">
        <f>Riepilogo!D34</f>
        <v>H-Farm S.p.A.</v>
      </c>
      <c r="C37" s="300"/>
      <c r="D37" s="301"/>
      <c r="E37" s="302"/>
      <c r="F37" s="303">
        <f>Riepilogo!I34</f>
        <v>178500</v>
      </c>
      <c r="G37" s="303"/>
      <c r="H37" s="303">
        <f>F37</f>
        <v>178500</v>
      </c>
      <c r="I37" s="305"/>
      <c r="J37" s="306"/>
      <c r="K37" s="307" t="s">
        <v>207</v>
      </c>
    </row>
    <row r="38" spans="2:11" s="238" customFormat="1" ht="13.5" customHeight="1">
      <c r="B38" s="294"/>
      <c r="C38" s="283"/>
      <c r="D38" s="295"/>
      <c r="E38" s="296"/>
      <c r="F38" s="280"/>
      <c r="G38" s="283"/>
      <c r="H38" s="280"/>
      <c r="I38" s="280"/>
      <c r="J38" s="297"/>
      <c r="K38" s="298"/>
    </row>
    <row r="39" spans="2:11" s="293" customFormat="1" ht="16.5">
      <c r="B39" s="299" t="str">
        <f>Riepilogo!D36</f>
        <v>WearIT S.r.l.</v>
      </c>
      <c r="C39" s="300"/>
      <c r="D39" s="301"/>
      <c r="E39" s="302"/>
      <c r="F39" s="303">
        <f>Riepilogo!I36</f>
        <v>4166.67</v>
      </c>
      <c r="G39" s="303"/>
      <c r="H39" s="303"/>
      <c r="I39" s="305"/>
      <c r="J39" s="306">
        <f>F39</f>
        <v>4166.67</v>
      </c>
      <c r="K39" s="307" t="s">
        <v>183</v>
      </c>
    </row>
    <row r="40" spans="2:11" s="238" customFormat="1" ht="13.5" customHeight="1">
      <c r="B40" s="294"/>
      <c r="C40" s="283"/>
      <c r="D40" s="295"/>
      <c r="E40" s="296"/>
      <c r="F40" s="280"/>
      <c r="G40" s="283"/>
      <c r="H40" s="280"/>
      <c r="I40" s="280"/>
      <c r="J40" s="297"/>
      <c r="K40" s="298"/>
    </row>
    <row r="41" spans="2:11" s="293" customFormat="1" ht="16.5">
      <c r="B41" s="299" t="str">
        <f>Riepilogo!D40</f>
        <v>Giesse S.r.l. </v>
      </c>
      <c r="C41" s="300"/>
      <c r="D41" s="301"/>
      <c r="E41" s="302"/>
      <c r="F41" s="303">
        <f>Riepilogo!I40</f>
        <v>1000000</v>
      </c>
      <c r="G41" s="303"/>
      <c r="H41" s="303"/>
      <c r="I41" s="305"/>
      <c r="J41" s="306">
        <f>F41</f>
        <v>1000000</v>
      </c>
      <c r="K41" s="307" t="s">
        <v>183</v>
      </c>
    </row>
    <row r="42" spans="2:11" s="238" customFormat="1" ht="13.5" customHeight="1">
      <c r="B42" s="294"/>
      <c r="C42" s="283"/>
      <c r="D42" s="295"/>
      <c r="E42" s="296"/>
      <c r="F42" s="280"/>
      <c r="G42" s="283"/>
      <c r="H42" s="280"/>
      <c r="I42" s="280"/>
      <c r="J42" s="297"/>
      <c r="K42" s="298"/>
    </row>
    <row r="43" spans="2:13" s="238" customFormat="1" ht="13.5" customHeight="1">
      <c r="B43" s="312"/>
      <c r="C43" s="313"/>
      <c r="D43" s="314"/>
      <c r="E43" s="315" t="s">
        <v>206</v>
      </c>
      <c r="F43" s="313">
        <f>SUM(F9:F42)</f>
        <v>4336049.41</v>
      </c>
      <c r="G43" s="313">
        <f>SUM(G9:G42)</f>
        <v>1016278</v>
      </c>
      <c r="H43" s="313">
        <f>SUM(H9:H42)</f>
        <v>178500</v>
      </c>
      <c r="I43" s="313">
        <f>SUM(I9:I42)</f>
        <v>0</v>
      </c>
      <c r="J43" s="316">
        <f>SUM(J9:J42)</f>
        <v>3058098.15</v>
      </c>
      <c r="K43" s="317"/>
      <c r="L43" s="318">
        <f>SUM(G43:J43)</f>
        <v>4252876.15</v>
      </c>
      <c r="M43" s="318">
        <f>Riepilogo!I49-L43</f>
        <v>83173.25999999978</v>
      </c>
    </row>
    <row r="44" spans="2:14" ht="13.5" customHeight="1">
      <c r="B44" s="279"/>
      <c r="C44" s="280"/>
      <c r="D44" s="281"/>
      <c r="E44" s="258"/>
      <c r="F44" s="276"/>
      <c r="G44" s="276"/>
      <c r="H44" s="276"/>
      <c r="I44" s="276"/>
      <c r="J44" s="277"/>
      <c r="K44" s="278"/>
      <c r="L44" s="238"/>
      <c r="M44" s="238"/>
      <c r="N44" s="238"/>
    </row>
    <row r="45" spans="2:14" ht="13.5" customHeight="1">
      <c r="B45" s="279" t="str">
        <f>Riepilogo!B51</f>
        <v>MERCHANT BANK - GESTIONE PATRIMONIO DESTINATO</v>
      </c>
      <c r="C45" s="283"/>
      <c r="D45" s="281"/>
      <c r="E45" s="258"/>
      <c r="F45" s="276"/>
      <c r="G45" s="259"/>
      <c r="H45" s="276"/>
      <c r="I45" s="276"/>
      <c r="J45" s="277"/>
      <c r="K45" s="278"/>
      <c r="L45" s="238"/>
      <c r="M45" s="238"/>
      <c r="N45" s="238"/>
    </row>
    <row r="46" spans="2:14" ht="13.5" customHeight="1">
      <c r="B46" s="279"/>
      <c r="C46" s="283"/>
      <c r="D46" s="281"/>
      <c r="E46" s="258"/>
      <c r="F46" s="276"/>
      <c r="G46" s="259"/>
      <c r="H46" s="276"/>
      <c r="I46" s="276"/>
      <c r="J46" s="277"/>
      <c r="K46" s="278"/>
      <c r="L46" s="238"/>
      <c r="M46" s="238"/>
      <c r="N46" s="238"/>
    </row>
    <row r="47" spans="2:11" s="238" customFormat="1" ht="18.75" customHeight="1">
      <c r="B47" s="284" t="str">
        <f>Riepilogo!D53</f>
        <v>Bellelli Engineering S.r.l.</v>
      </c>
      <c r="C47" s="285" t="e">
        <v>#REF!</v>
      </c>
      <c r="D47" s="286" t="s">
        <v>183</v>
      </c>
      <c r="E47" s="287" t="e">
        <v>#REF!</v>
      </c>
      <c r="F47" s="288">
        <f>Riepilogo!I53</f>
        <v>282000</v>
      </c>
      <c r="G47" s="319">
        <f>F47</f>
        <v>282000</v>
      </c>
      <c r="H47" s="290"/>
      <c r="I47" s="290"/>
      <c r="J47" s="291"/>
      <c r="K47" s="292">
        <v>1001</v>
      </c>
    </row>
    <row r="48" spans="2:14" ht="13.5" customHeight="1">
      <c r="B48" s="294"/>
      <c r="C48" s="283"/>
      <c r="D48" s="295"/>
      <c r="E48" s="296"/>
      <c r="F48" s="280"/>
      <c r="G48" s="283"/>
      <c r="H48" s="280"/>
      <c r="I48" s="280"/>
      <c r="J48" s="297"/>
      <c r="K48" s="298"/>
      <c r="L48" s="238"/>
      <c r="M48" s="238"/>
      <c r="N48" s="238"/>
    </row>
    <row r="49" spans="2:14" ht="13.5" customHeight="1">
      <c r="B49" s="312"/>
      <c r="C49" s="313"/>
      <c r="D49" s="314"/>
      <c r="E49" s="315" t="s">
        <v>206</v>
      </c>
      <c r="F49" s="313">
        <f>SUM(F47:F48)</f>
        <v>282000</v>
      </c>
      <c r="G49" s="313">
        <f>SUM(G47:G48)</f>
        <v>282000</v>
      </c>
      <c r="H49" s="313">
        <f>SUM(H47:H48)</f>
        <v>0</v>
      </c>
      <c r="I49" s="313">
        <f>SUM(I47:I48)</f>
        <v>0</v>
      </c>
      <c r="J49" s="316">
        <f>SUM(J47:J48)</f>
        <v>0</v>
      </c>
      <c r="K49" s="317"/>
      <c r="L49" s="318">
        <f>SUM(G49:J49)</f>
        <v>282000</v>
      </c>
      <c r="M49" s="318">
        <f>Riepilogo!I56-L49</f>
        <v>0</v>
      </c>
      <c r="N49" s="238"/>
    </row>
    <row r="50" spans="2:14" ht="13.5" customHeight="1">
      <c r="B50" s="279" t="str">
        <f>Riepilogo!B58</f>
        <v>NON MERCHANT BANK - GESTIONE VENETO SVILUPPO</v>
      </c>
      <c r="C50" s="280"/>
      <c r="D50" s="281"/>
      <c r="E50" s="258"/>
      <c r="F50" s="276"/>
      <c r="G50" s="276"/>
      <c r="H50" s="276"/>
      <c r="I50" s="276"/>
      <c r="J50" s="277"/>
      <c r="K50" s="278"/>
      <c r="L50" s="238"/>
      <c r="M50" s="238"/>
      <c r="N50" s="238"/>
    </row>
    <row r="51" spans="2:14" ht="13.5" customHeight="1">
      <c r="B51" s="279"/>
      <c r="C51" s="280"/>
      <c r="D51" s="281"/>
      <c r="E51" s="258"/>
      <c r="F51" s="276"/>
      <c r="G51" s="276"/>
      <c r="H51" s="276"/>
      <c r="I51" s="276"/>
      <c r="J51" s="277"/>
      <c r="K51" s="278"/>
      <c r="L51" s="238"/>
      <c r="M51" s="238"/>
      <c r="N51" s="238"/>
    </row>
    <row r="52" spans="2:11" s="238" customFormat="1" ht="13.5" customHeight="1">
      <c r="B52" s="325"/>
      <c r="C52" s="308"/>
      <c r="D52" s="326"/>
      <c r="E52" s="241"/>
      <c r="F52" s="308"/>
      <c r="G52" s="308"/>
      <c r="H52" s="308"/>
      <c r="I52" s="308"/>
      <c r="J52" s="309"/>
      <c r="K52" s="310"/>
    </row>
    <row r="53" spans="2:12" s="238" customFormat="1" ht="13.5" customHeight="1">
      <c r="B53" s="320" t="str">
        <f>Riepilogo!D69</f>
        <v>Enrive S.p.A.</v>
      </c>
      <c r="C53" s="247" t="e">
        <v>#REF!</v>
      </c>
      <c r="D53" s="321" t="e">
        <v>#REF!</v>
      </c>
      <c r="E53" s="322" t="e">
        <v>#REF!</v>
      </c>
      <c r="F53" s="323">
        <f>Riepilogo!I69</f>
        <v>2183500</v>
      </c>
      <c r="G53" s="323">
        <f>F53</f>
        <v>2183500</v>
      </c>
      <c r="H53" s="323"/>
      <c r="I53" s="323"/>
      <c r="J53" s="323"/>
      <c r="K53" s="324">
        <v>3</v>
      </c>
      <c r="L53" s="1095"/>
    </row>
    <row r="54" spans="2:11" s="238" customFormat="1" ht="13.5" customHeight="1">
      <c r="B54" s="325"/>
      <c r="C54" s="308"/>
      <c r="D54" s="326"/>
      <c r="E54" s="241"/>
      <c r="F54" s="308"/>
      <c r="G54" s="308"/>
      <c r="H54" s="308"/>
      <c r="I54" s="308"/>
      <c r="J54" s="309"/>
      <c r="K54" s="310"/>
    </row>
    <row r="55" spans="2:12" s="238" customFormat="1" ht="13.5" customHeight="1">
      <c r="B55" s="320" t="str">
        <f>Riepilogo!D60</f>
        <v>FVS S.G.R. S.p.A.</v>
      </c>
      <c r="C55" s="247" t="e">
        <v>#REF!</v>
      </c>
      <c r="D55" s="321" t="e">
        <v>#REF!</v>
      </c>
      <c r="E55" s="322" t="e">
        <v>#REF!</v>
      </c>
      <c r="F55" s="323">
        <f>Riepilogo!I60</f>
        <v>2818220</v>
      </c>
      <c r="G55" s="323"/>
      <c r="H55" s="323">
        <f>F55</f>
        <v>2818220</v>
      </c>
      <c r="I55" s="323"/>
      <c r="J55" s="323"/>
      <c r="K55" s="1116" t="s">
        <v>698</v>
      </c>
      <c r="L55" s="1095"/>
    </row>
    <row r="56" spans="2:11" s="238" customFormat="1" ht="13.5" customHeight="1">
      <c r="B56" s="294"/>
      <c r="C56" s="283"/>
      <c r="D56" s="295"/>
      <c r="E56" s="296"/>
      <c r="F56" s="280"/>
      <c r="G56" s="283"/>
      <c r="H56" s="280"/>
      <c r="I56" s="280"/>
      <c r="J56" s="297"/>
      <c r="K56" s="298"/>
    </row>
    <row r="57" spans="2:15" s="238" customFormat="1" ht="13.5" customHeight="1">
      <c r="B57" s="320" t="str">
        <f>Riepilogo!D73</f>
        <v>Aeroporto di Treviso S.p.A. </v>
      </c>
      <c r="C57" s="247" t="e">
        <v>#REF!</v>
      </c>
      <c r="D57" s="321" t="e">
        <v>#REF!</v>
      </c>
      <c r="E57" s="323" t="e">
        <v>#REF!</v>
      </c>
      <c r="F57" s="323">
        <f>Riepilogo!I73</f>
        <v>1311980</v>
      </c>
      <c r="G57" s="323">
        <f>F57</f>
        <v>1311980</v>
      </c>
      <c r="H57" s="327"/>
      <c r="I57" s="327"/>
      <c r="J57" s="323"/>
      <c r="K57" s="324" t="s">
        <v>208</v>
      </c>
      <c r="L57" s="238" t="s">
        <v>678</v>
      </c>
      <c r="N57" s="238">
        <v>54</v>
      </c>
      <c r="O57" s="238" t="s">
        <v>236</v>
      </c>
    </row>
    <row r="58" spans="2:11" s="238" customFormat="1" ht="13.5" customHeight="1">
      <c r="B58" s="325"/>
      <c r="C58" s="308"/>
      <c r="D58" s="326"/>
      <c r="E58" s="241"/>
      <c r="F58" s="308"/>
      <c r="G58" s="308"/>
      <c r="H58" s="308"/>
      <c r="I58" s="308"/>
      <c r="J58" s="309"/>
      <c r="K58" s="310"/>
    </row>
    <row r="59" spans="2:16" s="238" customFormat="1" ht="13.5" customHeight="1">
      <c r="B59" s="320" t="str">
        <f>Riepilogo!D75</f>
        <v>Aeroporto Valerio Catullo di Verona Villafranca S.p.A.</v>
      </c>
      <c r="C59" s="247" t="e">
        <v>#REF!</v>
      </c>
      <c r="D59" s="321" t="e">
        <v>#REF!</v>
      </c>
      <c r="E59" s="323" t="e">
        <v>#REF!</v>
      </c>
      <c r="F59" s="323">
        <f>Riepilogo!I75</f>
        <v>51656</v>
      </c>
      <c r="G59" s="323">
        <f>F59</f>
        <v>51656</v>
      </c>
      <c r="H59" s="327"/>
      <c r="I59" s="327"/>
      <c r="J59" s="323"/>
      <c r="K59" s="324" t="s">
        <v>264</v>
      </c>
      <c r="L59" s="238" t="s">
        <v>680</v>
      </c>
      <c r="N59" s="246"/>
      <c r="O59" s="246"/>
      <c r="P59" s="246"/>
    </row>
    <row r="60" spans="2:11" s="238" customFormat="1" ht="13.5" customHeight="1">
      <c r="B60" s="325"/>
      <c r="C60" s="308"/>
      <c r="D60" s="326"/>
      <c r="E60" s="241"/>
      <c r="F60" s="308"/>
      <c r="G60" s="308"/>
      <c r="H60" s="308"/>
      <c r="I60" s="308"/>
      <c r="J60" s="309"/>
      <c r="K60" s="310"/>
    </row>
    <row r="61" spans="2:11" s="246" customFormat="1" ht="15" customHeight="1">
      <c r="B61" s="320" t="str">
        <f>Riepilogo!D77</f>
        <v>Alpi Eagles S.p.A.</v>
      </c>
      <c r="C61" s="247">
        <v>20492451.72</v>
      </c>
      <c r="D61" s="321">
        <v>386325</v>
      </c>
      <c r="E61" s="322">
        <v>0.9803072992185632</v>
      </c>
      <c r="F61" s="323">
        <f>Riepilogo!I77</f>
        <v>200889</v>
      </c>
      <c r="G61" s="323">
        <f>F61</f>
        <v>200889</v>
      </c>
      <c r="H61" s="323"/>
      <c r="I61" s="323"/>
      <c r="J61" s="323"/>
      <c r="K61" s="324" t="s">
        <v>209</v>
      </c>
    </row>
    <row r="62" spans="2:11" s="238" customFormat="1" ht="15.75">
      <c r="B62" s="328"/>
      <c r="C62" s="308"/>
      <c r="D62" s="326">
        <v>39408561</v>
      </c>
      <c r="E62" s="244"/>
      <c r="F62" s="309"/>
      <c r="G62" s="309"/>
      <c r="H62" s="309"/>
      <c r="I62" s="309"/>
      <c r="J62" s="309"/>
      <c r="K62" s="310"/>
    </row>
    <row r="63" spans="2:11" s="238" customFormat="1" ht="15.75">
      <c r="B63" s="320" t="str">
        <f>Riepilogo!D79</f>
        <v>Attiva S.p.A. in liquidazione </v>
      </c>
      <c r="C63" s="247">
        <v>21580188</v>
      </c>
      <c r="D63" s="321">
        <v>390015</v>
      </c>
      <c r="E63" s="322">
        <v>10.843696079014697</v>
      </c>
      <c r="F63" s="323">
        <f>Riepilogo!I79</f>
        <v>830731.95</v>
      </c>
      <c r="G63" s="323">
        <f>F63</f>
        <v>830731.95</v>
      </c>
      <c r="H63" s="323"/>
      <c r="I63" s="323"/>
      <c r="J63" s="327"/>
      <c r="K63" s="324">
        <v>607</v>
      </c>
    </row>
    <row r="64" spans="2:11" s="238" customFormat="1" ht="15.75">
      <c r="B64" s="328"/>
      <c r="C64" s="308"/>
      <c r="D64" s="326"/>
      <c r="E64" s="309"/>
      <c r="F64" s="245"/>
      <c r="G64" s="309"/>
      <c r="H64" s="309"/>
      <c r="I64" s="309"/>
      <c r="J64" s="309"/>
      <c r="K64" s="310"/>
    </row>
    <row r="65" spans="2:12" s="238" customFormat="1" ht="15.75" customHeight="1">
      <c r="B65" s="320" t="str">
        <f>Riepilogo!D81</f>
        <v>Autodromo del Veneto S.p.A.</v>
      </c>
      <c r="C65" s="247">
        <v>26200912.5</v>
      </c>
      <c r="D65" s="321" t="e">
        <v>#REF!</v>
      </c>
      <c r="E65" s="322" t="s">
        <v>187</v>
      </c>
      <c r="F65" s="323">
        <f>Riepilogo!I81</f>
        <v>211920</v>
      </c>
      <c r="G65" s="323">
        <f>F65</f>
        <v>211920</v>
      </c>
      <c r="H65" s="323"/>
      <c r="I65" s="323"/>
      <c r="J65" s="327"/>
      <c r="K65" s="324">
        <v>7</v>
      </c>
      <c r="L65" s="1095"/>
    </row>
    <row r="66" spans="2:11" s="238" customFormat="1" ht="15.75">
      <c r="B66" s="328"/>
      <c r="C66" s="308"/>
      <c r="D66" s="326"/>
      <c r="E66" s="309"/>
      <c r="F66" s="245"/>
      <c r="G66" s="309"/>
      <c r="H66" s="309"/>
      <c r="I66" s="309"/>
      <c r="J66" s="309"/>
      <c r="K66" s="310"/>
    </row>
    <row r="67" spans="2:11" s="238" customFormat="1" ht="15.75">
      <c r="B67" s="320" t="str">
        <f>Riepilogo!D83</f>
        <v>Banca Popolare Etica soc. coop. per azioni</v>
      </c>
      <c r="C67" s="247">
        <v>26200912.5</v>
      </c>
      <c r="D67" s="329" t="s">
        <v>183</v>
      </c>
      <c r="E67" s="323" t="s">
        <v>187</v>
      </c>
      <c r="F67" s="323">
        <f>Riepilogo!I83</f>
        <v>49717.5</v>
      </c>
      <c r="G67" s="323" t="s">
        <v>139</v>
      </c>
      <c r="H67" s="323">
        <f>F67</f>
        <v>49717.5</v>
      </c>
      <c r="I67" s="323"/>
      <c r="J67" s="323"/>
      <c r="K67" s="324" t="s">
        <v>207</v>
      </c>
    </row>
    <row r="68" spans="2:11" s="238" customFormat="1" ht="15.75">
      <c r="B68" s="328"/>
      <c r="C68" s="308"/>
      <c r="D68" s="326"/>
      <c r="E68" s="309"/>
      <c r="F68" s="245"/>
      <c r="G68" s="309"/>
      <c r="H68" s="309"/>
      <c r="I68" s="309"/>
      <c r="J68" s="309"/>
      <c r="K68" s="310"/>
    </row>
    <row r="69" spans="2:11" s="238" customFormat="1" ht="15.75">
      <c r="B69" s="320" t="str">
        <f>Riepilogo!D85</f>
        <v>Bic Adriatico s.c. a r.l. in fallimento</v>
      </c>
      <c r="C69" s="247">
        <v>80000</v>
      </c>
      <c r="D69" s="329" t="s">
        <v>183</v>
      </c>
      <c r="E69" s="323">
        <v>10</v>
      </c>
      <c r="F69" s="323">
        <f>Riepilogo!I85</f>
        <v>8000</v>
      </c>
      <c r="G69" s="323" t="s">
        <v>139</v>
      </c>
      <c r="H69" s="323" t="s">
        <v>139</v>
      </c>
      <c r="I69" s="323"/>
      <c r="J69" s="323">
        <f>F69</f>
        <v>8000</v>
      </c>
      <c r="K69" s="324" t="s">
        <v>183</v>
      </c>
    </row>
    <row r="70" spans="2:11" s="238" customFormat="1" ht="18" customHeight="1">
      <c r="B70" s="328"/>
      <c r="C70" s="308"/>
      <c r="D70" s="330"/>
      <c r="E70" s="309"/>
      <c r="F70" s="331"/>
      <c r="G70" s="309"/>
      <c r="H70" s="309"/>
      <c r="I70" s="309"/>
      <c r="J70" s="309"/>
      <c r="K70" s="310"/>
    </row>
    <row r="71" spans="2:13" s="246" customFormat="1" ht="15.75">
      <c r="B71" s="320" t="str">
        <f>Riepilogo!D87</f>
        <v>Compagnia Investimenti e Sviluppo - C.I.S. S.p.A.</v>
      </c>
      <c r="C71" s="247">
        <v>75000000</v>
      </c>
      <c r="D71" s="321">
        <v>2251874</v>
      </c>
      <c r="E71" s="323">
        <v>3.0024986666666664</v>
      </c>
      <c r="F71" s="323">
        <f>Riepilogo!I87</f>
        <v>14217</v>
      </c>
      <c r="G71" s="323">
        <f>F71</f>
        <v>14217</v>
      </c>
      <c r="H71" s="323"/>
      <c r="I71" s="323"/>
      <c r="J71" s="323"/>
      <c r="K71" s="324">
        <v>91</v>
      </c>
      <c r="L71" s="1095"/>
      <c r="M71" s="238"/>
    </row>
    <row r="72" spans="2:11" s="238" customFormat="1" ht="15.75">
      <c r="B72" s="328"/>
      <c r="C72" s="308"/>
      <c r="D72" s="326">
        <v>75000000</v>
      </c>
      <c r="E72" s="309"/>
      <c r="F72" s="331"/>
      <c r="G72" s="309"/>
      <c r="H72" s="309"/>
      <c r="I72" s="309"/>
      <c r="J72" s="309"/>
      <c r="K72" s="310"/>
    </row>
    <row r="73" spans="2:13" s="246" customFormat="1" ht="15.75">
      <c r="B73" s="320" t="str">
        <f>Riepilogo!D89</f>
        <v>Expo Venice S.p.A.</v>
      </c>
      <c r="C73" s="247">
        <v>81875</v>
      </c>
      <c r="D73" s="321" t="e">
        <v>#REF!</v>
      </c>
      <c r="E73" s="323">
        <v>18.3206106870229</v>
      </c>
      <c r="F73" s="323">
        <f>Riepilogo!I89</f>
        <v>123580</v>
      </c>
      <c r="G73" s="323">
        <f>F73</f>
        <v>123580</v>
      </c>
      <c r="H73" s="323"/>
      <c r="I73" s="323"/>
      <c r="J73" s="323"/>
      <c r="K73" s="324" t="s">
        <v>263</v>
      </c>
      <c r="L73" s="318"/>
      <c r="M73" s="238"/>
    </row>
    <row r="74" spans="2:11" s="238" customFormat="1" ht="15.75">
      <c r="B74" s="328"/>
      <c r="C74" s="308"/>
      <c r="D74" s="326"/>
      <c r="E74" s="332"/>
      <c r="F74" s="331"/>
      <c r="G74" s="309"/>
      <c r="H74" s="309"/>
      <c r="I74" s="309"/>
      <c r="J74" s="309"/>
      <c r="K74" s="310"/>
    </row>
    <row r="75" spans="2:13" s="246" customFormat="1" ht="15.75">
      <c r="B75" s="320" t="str">
        <f>Riepilogo!D91</f>
        <v>Finest S.p.A.</v>
      </c>
      <c r="C75" s="247">
        <v>137176770.15</v>
      </c>
      <c r="D75" s="321">
        <v>147943</v>
      </c>
      <c r="E75" s="323">
        <v>5.570371675644821</v>
      </c>
      <c r="F75" s="323">
        <f>Riepilogo!I91</f>
        <v>7641255.95</v>
      </c>
      <c r="G75" s="323">
        <f>F75</f>
        <v>7641255.95</v>
      </c>
      <c r="H75" s="323"/>
      <c r="I75" s="323"/>
      <c r="J75" s="323"/>
      <c r="K75" s="324">
        <v>3</v>
      </c>
      <c r="L75" s="1096"/>
      <c r="M75" s="238"/>
    </row>
    <row r="76" spans="2:11" s="238" customFormat="1" ht="15.75">
      <c r="B76" s="328"/>
      <c r="C76" s="308"/>
      <c r="D76" s="326"/>
      <c r="E76" s="332"/>
      <c r="F76" s="331"/>
      <c r="G76" s="309"/>
      <c r="H76" s="309"/>
      <c r="I76" s="309"/>
      <c r="J76" s="309"/>
      <c r="K76" s="310"/>
    </row>
    <row r="77" spans="2:12" s="238" customFormat="1" ht="15.75">
      <c r="B77" s="320" t="str">
        <f>Riepilogo!D93</f>
        <v>Interporto di Venezia S.p.A.</v>
      </c>
      <c r="C77" s="247"/>
      <c r="D77" s="321"/>
      <c r="E77" s="323"/>
      <c r="F77" s="323">
        <f>Riepilogo!I93</f>
        <v>1901663.8</v>
      </c>
      <c r="G77" s="323">
        <f>F77</f>
        <v>1901663.8</v>
      </c>
      <c r="H77" s="323"/>
      <c r="I77" s="323"/>
      <c r="J77" s="323"/>
      <c r="K77" s="324" t="s">
        <v>682</v>
      </c>
      <c r="L77" s="318" t="s">
        <v>677</v>
      </c>
    </row>
    <row r="78" spans="2:12" s="238" customFormat="1" ht="15.75">
      <c r="B78" s="328"/>
      <c r="C78" s="308"/>
      <c r="D78" s="326"/>
      <c r="E78" s="332"/>
      <c r="F78" s="331"/>
      <c r="G78" s="309"/>
      <c r="H78" s="309"/>
      <c r="I78" s="309"/>
      <c r="J78" s="309"/>
      <c r="K78" s="310"/>
      <c r="L78" s="318"/>
    </row>
    <row r="79" spans="2:11" s="238" customFormat="1" ht="15.75">
      <c r="B79" s="320" t="e">
        <f>Riepilogo!#REF!</f>
        <v>#REF!</v>
      </c>
      <c r="C79" s="247">
        <v>3663002</v>
      </c>
      <c r="D79" s="321">
        <v>1019570</v>
      </c>
      <c r="E79" s="323">
        <v>2.783427363676023</v>
      </c>
      <c r="F79" s="323" t="e">
        <f>Riepilogo!#REF!</f>
        <v>#REF!</v>
      </c>
      <c r="G79" s="323"/>
      <c r="H79" s="323" t="e">
        <f>F79</f>
        <v>#REF!</v>
      </c>
      <c r="I79" s="323"/>
      <c r="J79" s="323"/>
      <c r="K79" s="324" t="s">
        <v>699</v>
      </c>
    </row>
    <row r="80" spans="2:11" s="238" customFormat="1" ht="15.75">
      <c r="B80" s="328"/>
      <c r="C80" s="308"/>
      <c r="D80" s="326"/>
      <c r="E80" s="333"/>
      <c r="F80" s="331"/>
      <c r="G80" s="309"/>
      <c r="H80" s="309"/>
      <c r="I80" s="309"/>
      <c r="J80" s="309"/>
      <c r="K80" s="310"/>
    </row>
    <row r="81" spans="2:11" s="238" customFormat="1" ht="15.75">
      <c r="B81" s="320" t="str">
        <f>Riepilogo!D95</f>
        <v>Politecnico Calzaturiero soc. cons. a r.l.</v>
      </c>
      <c r="C81" s="247"/>
      <c r="D81" s="334"/>
      <c r="E81" s="323"/>
      <c r="F81" s="323">
        <f>Riepilogo!I95</f>
        <v>157124</v>
      </c>
      <c r="G81" s="323"/>
      <c r="H81" s="323"/>
      <c r="I81" s="323"/>
      <c r="J81" s="323">
        <f>F81</f>
        <v>157124</v>
      </c>
      <c r="K81" s="324" t="s">
        <v>183</v>
      </c>
    </row>
    <row r="82" spans="2:13" s="246" customFormat="1" ht="15.75">
      <c r="B82" s="328"/>
      <c r="C82" s="308"/>
      <c r="D82" s="330"/>
      <c r="E82" s="335"/>
      <c r="F82" s="331"/>
      <c r="G82" s="309"/>
      <c r="H82" s="309"/>
      <c r="I82" s="309"/>
      <c r="J82" s="309"/>
      <c r="K82" s="310"/>
      <c r="L82" s="238"/>
      <c r="M82" s="238"/>
    </row>
    <row r="83" spans="2:11" s="238" customFormat="1" ht="18.75" customHeight="1">
      <c r="B83" s="320" t="str">
        <f>Riepilogo!D97</f>
        <v>Xgroup S.p.A. in liquidazione</v>
      </c>
      <c r="C83" s="247"/>
      <c r="D83" s="336"/>
      <c r="E83" s="337"/>
      <c r="F83" s="323">
        <f>Riepilogo!I97</f>
        <v>555961</v>
      </c>
      <c r="G83" s="338">
        <f>F83</f>
        <v>555961</v>
      </c>
      <c r="H83" s="323"/>
      <c r="I83" s="323"/>
      <c r="J83" s="323"/>
      <c r="K83" s="324" t="s">
        <v>259</v>
      </c>
    </row>
    <row r="84" spans="2:13" s="238" customFormat="1" ht="15.75">
      <c r="B84" s="339"/>
      <c r="C84" s="340"/>
      <c r="D84" s="341"/>
      <c r="E84" s="342" t="s">
        <v>206</v>
      </c>
      <c r="F84" s="343" t="e">
        <f>SUM(F52:F83)</f>
        <v>#REF!</v>
      </c>
      <c r="G84" s="343">
        <f>SUM(G52:G83)</f>
        <v>15027354.700000001</v>
      </c>
      <c r="H84" s="343" t="e">
        <f>SUM(H52:H83)</f>
        <v>#REF!</v>
      </c>
      <c r="I84" s="343">
        <f>SUM(I52:I83)</f>
        <v>0</v>
      </c>
      <c r="J84" s="343">
        <f>SUM(J52:J83)</f>
        <v>165124</v>
      </c>
      <c r="K84" s="344"/>
      <c r="L84" s="318" t="e">
        <f>SUM(G84:J84)</f>
        <v>#REF!</v>
      </c>
      <c r="M84" s="318" t="e">
        <f>Riepilogo!I102-L84</f>
        <v>#REF!</v>
      </c>
    </row>
    <row r="85" spans="2:11" s="238" customFormat="1" ht="15.75">
      <c r="B85" s="345"/>
      <c r="C85" s="276"/>
      <c r="D85" s="346"/>
      <c r="E85" s="347"/>
      <c r="F85" s="276"/>
      <c r="G85" s="276"/>
      <c r="H85" s="276"/>
      <c r="I85" s="276"/>
      <c r="J85" s="277"/>
      <c r="K85" s="348"/>
    </row>
    <row r="86" spans="2:11" s="238" customFormat="1" ht="13.5" customHeight="1">
      <c r="B86" s="279" t="str">
        <f>Riepilogo!B104</f>
        <v>MERCHANT BANK - GESTIONE VENETO SVILUPPO</v>
      </c>
      <c r="C86" s="283"/>
      <c r="D86" s="281"/>
      <c r="E86" s="258"/>
      <c r="F86" s="276"/>
      <c r="G86" s="259"/>
      <c r="H86" s="276"/>
      <c r="I86" s="276"/>
      <c r="J86" s="277"/>
      <c r="K86" s="278"/>
    </row>
    <row r="87" spans="2:11" s="238" customFormat="1" ht="15.75">
      <c r="B87" s="320">
        <f>Riepilogo!D106</f>
        <v>0</v>
      </c>
      <c r="C87" s="247"/>
      <c r="D87" s="334"/>
      <c r="E87" s="323"/>
      <c r="F87" s="323">
        <f>Riepilogo!I106</f>
        <v>0</v>
      </c>
      <c r="G87" s="338"/>
      <c r="H87" s="323"/>
      <c r="I87" s="323"/>
      <c r="J87" s="323">
        <f>F87</f>
        <v>0</v>
      </c>
      <c r="K87" s="324" t="s">
        <v>183</v>
      </c>
    </row>
    <row r="88" spans="2:14" ht="13.5" customHeight="1">
      <c r="B88" s="294"/>
      <c r="C88" s="283"/>
      <c r="D88" s="295"/>
      <c r="E88" s="296"/>
      <c r="F88" s="280"/>
      <c r="G88" s="283"/>
      <c r="H88" s="280"/>
      <c r="I88" s="280"/>
      <c r="J88" s="297"/>
      <c r="K88" s="298"/>
      <c r="L88" s="238"/>
      <c r="M88" s="238"/>
      <c r="N88" s="238"/>
    </row>
    <row r="89" spans="2:14" ht="13.5" customHeight="1">
      <c r="B89" s="349"/>
      <c r="C89" s="350"/>
      <c r="D89" s="351"/>
      <c r="E89" s="352" t="s">
        <v>206</v>
      </c>
      <c r="F89" s="350">
        <f>F87</f>
        <v>0</v>
      </c>
      <c r="G89" s="350">
        <f>G87</f>
        <v>0</v>
      </c>
      <c r="H89" s="350">
        <f>H87</f>
        <v>0</v>
      </c>
      <c r="I89" s="350">
        <f>I87</f>
        <v>0</v>
      </c>
      <c r="J89" s="350">
        <f>J87</f>
        <v>0</v>
      </c>
      <c r="K89" s="353"/>
      <c r="L89" s="318">
        <f>SUM(G89:J89)</f>
        <v>0</v>
      </c>
      <c r="M89" s="318">
        <f>Riepilogo!I108-L89</f>
        <v>0</v>
      </c>
      <c r="N89" s="238"/>
    </row>
    <row r="90" spans="2:13" s="246" customFormat="1" ht="15.75">
      <c r="B90" s="328"/>
      <c r="C90" s="308"/>
      <c r="D90" s="330"/>
      <c r="E90" s="335"/>
      <c r="F90" s="331"/>
      <c r="G90" s="309"/>
      <c r="H90" s="309"/>
      <c r="I90" s="309"/>
      <c r="J90" s="309"/>
      <c r="K90" s="310"/>
      <c r="L90" s="238"/>
      <c r="M90" s="238"/>
    </row>
    <row r="91" spans="2:11" s="238" customFormat="1" ht="15.75">
      <c r="B91" s="354" t="str">
        <f>Riepilogo!B110</f>
        <v>PARTECIPAZIONI C/REGIONE</v>
      </c>
      <c r="C91" s="276"/>
      <c r="D91" s="346"/>
      <c r="E91" s="347"/>
      <c r="F91" s="276"/>
      <c r="G91" s="276"/>
      <c r="H91" s="276"/>
      <c r="I91" s="276"/>
      <c r="J91" s="277"/>
      <c r="K91" s="348"/>
    </row>
    <row r="92" spans="2:11" s="238" customFormat="1" ht="15.75">
      <c r="B92" s="355"/>
      <c r="C92" s="276"/>
      <c r="D92" s="346"/>
      <c r="E92" s="347"/>
      <c r="F92" s="276"/>
      <c r="G92" s="276"/>
      <c r="H92" s="276"/>
      <c r="I92" s="276"/>
      <c r="J92" s="277"/>
      <c r="K92" s="348"/>
    </row>
    <row r="93" spans="2:12" s="246" customFormat="1" ht="16.5" customHeight="1">
      <c r="B93" s="356" t="str">
        <f>B75</f>
        <v>Finest S.p.A.</v>
      </c>
      <c r="C93" s="357">
        <v>137176770.15</v>
      </c>
      <c r="D93" s="358">
        <v>58020</v>
      </c>
      <c r="E93" s="359">
        <v>2.1845776050297245</v>
      </c>
      <c r="F93" s="357">
        <f>Riepilogo!I112</f>
        <v>2996733</v>
      </c>
      <c r="G93" s="357">
        <f>F93</f>
        <v>2996733</v>
      </c>
      <c r="H93" s="357"/>
      <c r="I93" s="357"/>
      <c r="J93" s="360"/>
      <c r="K93" s="1117">
        <v>3</v>
      </c>
      <c r="L93" s="1094"/>
    </row>
    <row r="94" spans="2:11" s="238" customFormat="1" ht="15.75">
      <c r="B94" s="361"/>
      <c r="C94" s="308"/>
      <c r="D94" s="362"/>
      <c r="E94" s="363"/>
      <c r="F94" s="308"/>
      <c r="G94" s="276"/>
      <c r="H94" s="276"/>
      <c r="I94" s="276"/>
      <c r="J94" s="277"/>
      <c r="K94" s="278"/>
    </row>
    <row r="95" spans="2:12" s="246" customFormat="1" ht="31.5">
      <c r="B95" s="356" t="e">
        <f>Riepilogo!#REF!</f>
        <v>#REF!</v>
      </c>
      <c r="C95" s="357">
        <v>6152325</v>
      </c>
      <c r="D95" s="358">
        <v>1228399</v>
      </c>
      <c r="E95" s="364">
        <v>99.83209599622907</v>
      </c>
      <c r="F95" s="357" t="e">
        <f>Riepilogo!#REF!</f>
        <v>#REF!</v>
      </c>
      <c r="G95" s="357" t="e">
        <f>F95</f>
        <v>#REF!</v>
      </c>
      <c r="H95" s="357"/>
      <c r="I95" s="357"/>
      <c r="J95" s="360"/>
      <c r="K95" s="1118" t="s">
        <v>703</v>
      </c>
      <c r="L95" s="1094"/>
    </row>
    <row r="96" spans="2:11" s="238" customFormat="1" ht="15.75">
      <c r="B96" s="361"/>
      <c r="C96" s="308"/>
      <c r="D96" s="362"/>
      <c r="E96" s="239"/>
      <c r="F96" s="308"/>
      <c r="G96" s="276"/>
      <c r="H96" s="276"/>
      <c r="I96" s="276"/>
      <c r="J96" s="277"/>
      <c r="K96" s="348"/>
    </row>
    <row r="97" spans="2:13" s="238" customFormat="1" ht="15.75">
      <c r="B97" s="365"/>
      <c r="C97" s="366"/>
      <c r="D97" s="367"/>
      <c r="E97" s="368" t="s">
        <v>206</v>
      </c>
      <c r="F97" s="366" t="e">
        <f>SUM(F93:F96)</f>
        <v>#REF!</v>
      </c>
      <c r="G97" s="366" t="e">
        <f>SUM(G93:G96)</f>
        <v>#REF!</v>
      </c>
      <c r="H97" s="366">
        <f>SUM(H93:H96)</f>
        <v>0</v>
      </c>
      <c r="I97" s="366">
        <f>SUM(I93:I96)</f>
        <v>0</v>
      </c>
      <c r="J97" s="369">
        <f>SUM(J93:J96)</f>
        <v>0</v>
      </c>
      <c r="K97" s="370"/>
      <c r="L97" s="318" t="e">
        <f>SUM(G97:J97)</f>
        <v>#REF!</v>
      </c>
      <c r="M97" s="318" t="e">
        <f>Riepilogo!I114-L97</f>
        <v>#REF!</v>
      </c>
    </row>
    <row r="98" spans="2:11" s="238" customFormat="1" ht="15.75">
      <c r="B98" s="345"/>
      <c r="C98" s="257"/>
      <c r="D98" s="258"/>
      <c r="E98" s="258"/>
      <c r="F98" s="257"/>
      <c r="G98" s="257"/>
      <c r="H98" s="257"/>
      <c r="I98" s="257"/>
      <c r="J98" s="260"/>
      <c r="K98" s="261"/>
    </row>
    <row r="99" spans="2:13" s="238" customFormat="1" ht="16.5" thickBot="1">
      <c r="B99" s="371" t="s">
        <v>210</v>
      </c>
      <c r="C99" s="372"/>
      <c r="D99" s="372"/>
      <c r="E99" s="372"/>
      <c r="F99" s="373" t="e">
        <f>SUM(+F43+F49+F84+F97+F89)</f>
        <v>#REF!</v>
      </c>
      <c r="G99" s="373" t="e">
        <f>SUM(+G43+G49+G84+G97+G89)</f>
        <v>#REF!</v>
      </c>
      <c r="H99" s="373" t="e">
        <f>SUM(+H43+H49+H84+H97+H89)</f>
        <v>#REF!</v>
      </c>
      <c r="I99" s="373">
        <f>SUM(+I43+I49+I84+I97+I89)</f>
        <v>0</v>
      </c>
      <c r="J99" s="373">
        <f>SUM(+J43+J49+J84+J97+J89)</f>
        <v>3223222.15</v>
      </c>
      <c r="K99" s="382"/>
      <c r="L99" s="318" t="e">
        <f>SUM(L6:L98)</f>
        <v>#REF!</v>
      </c>
      <c r="M99" s="318" t="e">
        <f>L99-F99</f>
        <v>#REF!</v>
      </c>
    </row>
    <row r="100" spans="2:11" s="238" customFormat="1" ht="15.75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238" customFormat="1" ht="15.75" hidden="1">
      <c r="B101" s="282" t="s">
        <v>392</v>
      </c>
      <c r="C101" s="374"/>
      <c r="D101" s="282"/>
      <c r="E101" s="282"/>
      <c r="F101" s="375">
        <v>550000</v>
      </c>
      <c r="G101" s="374"/>
      <c r="H101" s="374"/>
      <c r="I101" s="374"/>
      <c r="J101" s="376"/>
      <c r="K101" s="282"/>
    </row>
    <row r="102" spans="2:11" s="238" customFormat="1" ht="15.75" hidden="1">
      <c r="B102" s="282"/>
      <c r="C102" s="374"/>
      <c r="D102" s="282"/>
      <c r="E102" s="282"/>
      <c r="F102" s="377" t="e">
        <f>SUM(F99:F101)</f>
        <v>#REF!</v>
      </c>
      <c r="G102" s="374"/>
      <c r="H102" s="374"/>
      <c r="I102" s="374"/>
      <c r="J102" s="376"/>
      <c r="K102" s="282"/>
    </row>
    <row r="103" spans="2:11" s="238" customFormat="1" ht="15.75">
      <c r="B103" s="282"/>
      <c r="C103" s="374"/>
      <c r="D103" s="282"/>
      <c r="E103" s="282"/>
      <c r="F103" s="374"/>
      <c r="G103" s="374"/>
      <c r="H103" s="374"/>
      <c r="I103" s="374"/>
      <c r="J103" s="376"/>
      <c r="K103" s="282"/>
    </row>
    <row r="104" spans="2:11" s="238" customFormat="1" ht="15.75">
      <c r="B104" s="282"/>
      <c r="C104" s="374"/>
      <c r="D104" s="282"/>
      <c r="E104" s="282"/>
      <c r="F104" s="374"/>
      <c r="G104" s="374"/>
      <c r="H104" s="374"/>
      <c r="I104" s="374"/>
      <c r="J104" s="376"/>
      <c r="K104" s="282"/>
    </row>
    <row r="105" spans="2:11" s="238" customFormat="1" ht="15.75">
      <c r="B105" s="282"/>
      <c r="C105" s="374"/>
      <c r="D105" s="282"/>
      <c r="E105" s="282"/>
      <c r="F105" s="374"/>
      <c r="G105" s="374"/>
      <c r="H105" s="374"/>
      <c r="I105" s="374"/>
      <c r="J105" s="376"/>
      <c r="K105" s="282"/>
    </row>
    <row r="106" spans="2:11" s="238" customFormat="1" ht="15.75">
      <c r="B106" s="282"/>
      <c r="C106" s="374"/>
      <c r="D106" s="282"/>
      <c r="E106" s="282"/>
      <c r="F106" s="374"/>
      <c r="G106" s="374"/>
      <c r="H106" s="374"/>
      <c r="I106" s="374"/>
      <c r="J106" s="376"/>
      <c r="K106" s="282"/>
    </row>
    <row r="118" ht="15.75">
      <c r="H118" s="378" t="s">
        <v>139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8"/>
  <sheetViews>
    <sheetView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14.28125" style="10" customWidth="1"/>
    <col min="2" max="2" width="14.421875" style="10" customWidth="1"/>
    <col min="3" max="4" width="14.8515625" style="10" customWidth="1"/>
    <col min="5" max="5" width="13.7109375" style="10" customWidth="1"/>
    <col min="6" max="6" width="17.8515625" style="10" customWidth="1"/>
    <col min="7" max="7" width="17.28125" style="10" customWidth="1"/>
    <col min="8" max="8" width="15.57421875" style="10" customWidth="1"/>
    <col min="9" max="9" width="14.8515625" style="10" customWidth="1"/>
    <col min="10" max="16384" width="9.140625" style="10" customWidth="1"/>
  </cols>
  <sheetData>
    <row r="1" spans="1:9" ht="14.25">
      <c r="A1" s="978" t="s">
        <v>278</v>
      </c>
      <c r="B1" s="384"/>
      <c r="C1" s="383"/>
      <c r="D1" s="384"/>
      <c r="E1" s="384"/>
      <c r="F1" s="384"/>
      <c r="G1" s="384"/>
      <c r="H1" s="384"/>
      <c r="I1" s="384"/>
    </row>
    <row r="2" spans="1:9" ht="68.25" customHeight="1">
      <c r="A2" s="1953" t="s">
        <v>279</v>
      </c>
      <c r="B2" s="1953" t="s">
        <v>280</v>
      </c>
      <c r="C2" s="1953" t="s">
        <v>281</v>
      </c>
      <c r="D2" s="1953" t="s">
        <v>711</v>
      </c>
      <c r="E2" s="1953" t="s">
        <v>712</v>
      </c>
      <c r="F2" s="1950" t="s">
        <v>282</v>
      </c>
      <c r="G2" s="1951"/>
      <c r="H2" s="1950" t="s">
        <v>283</v>
      </c>
      <c r="I2" s="1952"/>
    </row>
    <row r="3" spans="1:9" ht="33" customHeight="1">
      <c r="A3" s="1954"/>
      <c r="B3" s="1954"/>
      <c r="C3" s="1954"/>
      <c r="D3" s="1954"/>
      <c r="E3" s="1954"/>
      <c r="F3" s="38" t="s">
        <v>284</v>
      </c>
      <c r="G3" s="38" t="s">
        <v>285</v>
      </c>
      <c r="H3" s="38" t="s">
        <v>284</v>
      </c>
      <c r="I3" s="38" t="s">
        <v>285</v>
      </c>
    </row>
    <row r="4" spans="1:9" ht="14.2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2.75">
      <c r="A5" s="32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</row>
    <row r="6" spans="1:9" ht="14.25">
      <c r="A6" s="190"/>
      <c r="B6" s="190"/>
      <c r="C6" s="190"/>
      <c r="D6" s="190"/>
      <c r="E6" s="190"/>
      <c r="F6" s="190"/>
      <c r="G6" s="190"/>
      <c r="H6" s="190"/>
      <c r="I6" s="190"/>
    </row>
    <row r="8" ht="12.75">
      <c r="A8" s="960"/>
    </row>
  </sheetData>
  <sheetProtection/>
  <mergeCells count="7">
    <mergeCell ref="F2:G2"/>
    <mergeCell ref="H2:I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40"/>
  <sheetViews>
    <sheetView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13.8515625" style="10" customWidth="1"/>
    <col min="2" max="2" width="21.00390625" style="10" customWidth="1"/>
    <col min="3" max="3" width="16.00390625" style="10" customWidth="1"/>
    <col min="4" max="5" width="18.140625" style="10" customWidth="1"/>
    <col min="6" max="6" width="13.7109375" style="10" customWidth="1"/>
    <col min="7" max="7" width="17.28125" style="10" customWidth="1"/>
    <col min="8" max="16384" width="9.140625" style="10" customWidth="1"/>
  </cols>
  <sheetData>
    <row r="1" spans="1:7" s="39" customFormat="1" ht="16.5" customHeight="1">
      <c r="A1" s="395" t="s">
        <v>286</v>
      </c>
      <c r="B1" s="148"/>
      <c r="C1" s="148"/>
      <c r="D1" s="148"/>
      <c r="E1" s="148"/>
      <c r="F1" s="148"/>
      <c r="G1" s="148"/>
    </row>
    <row r="2" spans="1:7" ht="56.25" customHeight="1">
      <c r="A2" s="1953" t="s">
        <v>279</v>
      </c>
      <c r="B2" s="1953" t="s">
        <v>289</v>
      </c>
      <c r="C2" s="1953" t="s">
        <v>281</v>
      </c>
      <c r="D2" s="1950" t="s">
        <v>287</v>
      </c>
      <c r="E2" s="1951"/>
      <c r="F2" s="1950" t="s">
        <v>288</v>
      </c>
      <c r="G2" s="1952"/>
    </row>
    <row r="3" spans="1:7" ht="30">
      <c r="A3" s="1954"/>
      <c r="B3" s="1954"/>
      <c r="C3" s="1954"/>
      <c r="D3" s="38" t="s">
        <v>713</v>
      </c>
      <c r="E3" s="38" t="s">
        <v>714</v>
      </c>
      <c r="F3" s="38" t="s">
        <v>715</v>
      </c>
      <c r="G3" s="38" t="s">
        <v>716</v>
      </c>
    </row>
    <row r="4" spans="1:7" ht="14.25">
      <c r="A4" s="189"/>
      <c r="B4" s="189"/>
      <c r="C4" s="189"/>
      <c r="D4" s="189"/>
      <c r="E4" s="189"/>
      <c r="F4" s="189"/>
      <c r="G4" s="189"/>
    </row>
    <row r="5" spans="1:7" ht="12.75">
      <c r="A5" s="32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</row>
    <row r="6" spans="1:7" ht="14.25">
      <c r="A6" s="190"/>
      <c r="B6" s="190"/>
      <c r="C6" s="190"/>
      <c r="D6" s="190"/>
      <c r="E6" s="190"/>
      <c r="F6" s="190"/>
      <c r="G6" s="190"/>
    </row>
    <row r="8" ht="12.75">
      <c r="A8" s="390"/>
    </row>
    <row r="40" ht="12.75">
      <c r="E40" s="386" t="s">
        <v>139</v>
      </c>
    </row>
  </sheetData>
  <sheetProtection/>
  <mergeCells count="5">
    <mergeCell ref="F2:G2"/>
    <mergeCell ref="A2:A3"/>
    <mergeCell ref="B2:B3"/>
    <mergeCell ref="C2:C3"/>
    <mergeCell ref="D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29"/>
  <sheetViews>
    <sheetView zoomScale="90" zoomScaleNormal="90" zoomScalePageLayoutView="0" workbookViewId="0" topLeftCell="A13">
      <selection activeCell="G44" sqref="G44"/>
    </sheetView>
  </sheetViews>
  <sheetFormatPr defaultColWidth="9.140625" defaultRowHeight="12.75"/>
  <cols>
    <col min="1" max="1" width="3.421875" style="10" customWidth="1"/>
    <col min="2" max="2" width="47.8515625" style="10" customWidth="1"/>
    <col min="3" max="3" width="13.57421875" style="10" customWidth="1"/>
    <col min="4" max="4" width="13.7109375" style="10" customWidth="1"/>
    <col min="5" max="5" width="13.8515625" style="10" customWidth="1"/>
    <col min="6" max="6" width="15.7109375" style="10" customWidth="1"/>
    <col min="7" max="7" width="11.28125" style="10" bestFit="1" customWidth="1"/>
    <col min="8" max="11" width="9.140625" style="10" customWidth="1"/>
    <col min="12" max="12" width="16.8515625" style="10" customWidth="1"/>
    <col min="13" max="13" width="12.140625" style="10" bestFit="1" customWidth="1"/>
    <col min="14" max="16384" width="9.140625" style="10" customWidth="1"/>
  </cols>
  <sheetData>
    <row r="1" spans="1:6" s="39" customFormat="1" ht="16.5" customHeight="1">
      <c r="A1" s="414" t="s">
        <v>290</v>
      </c>
      <c r="B1" s="414"/>
      <c r="C1" s="414"/>
      <c r="D1" s="414"/>
      <c r="E1" s="414"/>
      <c r="F1" s="414"/>
    </row>
    <row r="2" spans="1:7" ht="15" customHeight="1">
      <c r="A2" s="1958" t="s">
        <v>648</v>
      </c>
      <c r="B2" s="1959"/>
      <c r="C2" s="1960"/>
      <c r="D2" s="1955" t="s">
        <v>72</v>
      </c>
      <c r="E2" s="1955" t="s">
        <v>73</v>
      </c>
      <c r="F2" s="1955" t="s">
        <v>74</v>
      </c>
      <c r="G2" s="1964" t="s">
        <v>5</v>
      </c>
    </row>
    <row r="3" spans="1:7" ht="15" customHeight="1">
      <c r="A3" s="1961"/>
      <c r="B3" s="1962"/>
      <c r="C3" s="1963"/>
      <c r="D3" s="1956"/>
      <c r="E3" s="1956"/>
      <c r="F3" s="1956"/>
      <c r="G3" s="1965"/>
    </row>
    <row r="4" spans="1:7" ht="14.25">
      <c r="A4" s="979"/>
      <c r="B4" s="21"/>
      <c r="C4" s="21"/>
      <c r="D4" s="23"/>
      <c r="E4" s="1056"/>
      <c r="F4" s="1057"/>
      <c r="G4" s="1057"/>
    </row>
    <row r="5" spans="1:13" ht="15">
      <c r="A5" s="980" t="s">
        <v>0</v>
      </c>
      <c r="B5" s="5" t="s">
        <v>291</v>
      </c>
      <c r="C5" s="7"/>
      <c r="D5" s="54">
        <v>3372266</v>
      </c>
      <c r="E5" s="1058">
        <v>0</v>
      </c>
      <c r="F5" s="55">
        <v>0</v>
      </c>
      <c r="G5" s="16">
        <f>SUM(D5:F5)</f>
        <v>3372266</v>
      </c>
      <c r="L5" s="504"/>
      <c r="M5" s="504" t="s">
        <v>460</v>
      </c>
    </row>
    <row r="6" spans="1:13" ht="15">
      <c r="A6" s="980"/>
      <c r="B6" s="7"/>
      <c r="C6" s="7"/>
      <c r="D6" s="54"/>
      <c r="E6" s="429"/>
      <c r="F6" s="1059"/>
      <c r="G6" s="1060"/>
      <c r="H6" s="386" t="s">
        <v>434</v>
      </c>
      <c r="I6" s="386"/>
      <c r="J6" s="10" t="s">
        <v>240</v>
      </c>
      <c r="L6" s="504"/>
      <c r="M6" s="504"/>
    </row>
    <row r="7" spans="1:13" ht="15">
      <c r="A7" s="980" t="s">
        <v>2</v>
      </c>
      <c r="B7" s="5" t="s">
        <v>292</v>
      </c>
      <c r="C7" s="7"/>
      <c r="D7" s="55">
        <v>0</v>
      </c>
      <c r="E7" s="1058">
        <v>0</v>
      </c>
      <c r="F7" s="54">
        <v>1</v>
      </c>
      <c r="G7" s="16">
        <f>SUM(D7:F7)</f>
        <v>1</v>
      </c>
      <c r="H7" s="386" t="s">
        <v>434</v>
      </c>
      <c r="J7" s="10" t="s">
        <v>313</v>
      </c>
      <c r="L7" s="1957" t="s">
        <v>438</v>
      </c>
      <c r="M7" s="967" t="e">
        <f>G9-'AFS 4.1'!E68</f>
        <v>#REF!</v>
      </c>
    </row>
    <row r="8" spans="1:13" ht="15">
      <c r="A8" s="980"/>
      <c r="B8" s="7"/>
      <c r="C8" s="7"/>
      <c r="D8" s="54"/>
      <c r="E8" s="429"/>
      <c r="F8" s="1059"/>
      <c r="G8" s="1060"/>
      <c r="L8" s="1957"/>
      <c r="M8" s="966" t="e">
        <f>IF(M7=0,"quadra","non quadra")</f>
        <v>#REF!</v>
      </c>
    </row>
    <row r="9" spans="1:7" ht="15">
      <c r="A9" s="1061" t="s">
        <v>3</v>
      </c>
      <c r="B9" s="5" t="s">
        <v>293</v>
      </c>
      <c r="C9" s="7"/>
      <c r="D9" s="54">
        <v>2252553.06</v>
      </c>
      <c r="E9" s="54">
        <v>450850</v>
      </c>
      <c r="F9" s="54">
        <f>13118665</f>
        <v>13118665</v>
      </c>
      <c r="G9" s="16">
        <f>SUM(D9:F9)</f>
        <v>15822068.06</v>
      </c>
    </row>
    <row r="10" spans="1:13" ht="15">
      <c r="A10" s="980"/>
      <c r="B10" s="7"/>
      <c r="C10" s="7"/>
      <c r="D10" s="54"/>
      <c r="E10" s="429"/>
      <c r="F10" s="1059"/>
      <c r="G10" s="1060"/>
      <c r="H10" s="386"/>
      <c r="I10" s="387"/>
      <c r="J10" s="387"/>
      <c r="M10" s="392"/>
    </row>
    <row r="11" spans="1:13" ht="23.25" customHeight="1">
      <c r="A11" s="1061" t="s">
        <v>227</v>
      </c>
      <c r="B11" s="5" t="s">
        <v>294</v>
      </c>
      <c r="C11" s="7"/>
      <c r="D11" s="55">
        <v>0</v>
      </c>
      <c r="E11" s="1058">
        <v>0</v>
      </c>
      <c r="F11" s="55">
        <v>0</v>
      </c>
      <c r="G11" s="17">
        <f>SUM(D11:F11)</f>
        <v>0</v>
      </c>
      <c r="H11" s="10" t="s">
        <v>613</v>
      </c>
      <c r="M11" s="392">
        <v>600</v>
      </c>
    </row>
    <row r="12" spans="1:13" ht="15">
      <c r="A12" s="1052"/>
      <c r="B12" s="985"/>
      <c r="C12" s="985"/>
      <c r="D12" s="1059"/>
      <c r="E12" s="1062"/>
      <c r="F12" s="1059"/>
      <c r="G12" s="1060"/>
      <c r="H12" s="10" t="s">
        <v>611</v>
      </c>
      <c r="M12" s="392">
        <v>450250</v>
      </c>
    </row>
    <row r="13" spans="1:13" ht="15">
      <c r="A13" s="1061" t="s">
        <v>229</v>
      </c>
      <c r="B13" s="5" t="s">
        <v>295</v>
      </c>
      <c r="C13" s="7"/>
      <c r="D13" s="55">
        <v>0</v>
      </c>
      <c r="E13" s="1058">
        <v>0</v>
      </c>
      <c r="F13" s="55">
        <v>0</v>
      </c>
      <c r="G13" s="17">
        <f>SUM(D13:F13)</f>
        <v>0</v>
      </c>
      <c r="H13" s="10" t="s">
        <v>609</v>
      </c>
      <c r="M13" s="392">
        <v>14115</v>
      </c>
    </row>
    <row r="14" spans="1:7" ht="15">
      <c r="A14" s="1052"/>
      <c r="B14" s="985"/>
      <c r="C14" s="985"/>
      <c r="D14" s="1059"/>
      <c r="E14" s="1062"/>
      <c r="F14" s="1059"/>
      <c r="G14" s="1060"/>
    </row>
    <row r="15" spans="1:7" ht="23.25" customHeight="1">
      <c r="A15" s="1061" t="s">
        <v>230</v>
      </c>
      <c r="B15" s="5" t="s">
        <v>296</v>
      </c>
      <c r="C15" s="7"/>
      <c r="D15" s="55">
        <v>0</v>
      </c>
      <c r="E15" s="1058">
        <v>0</v>
      </c>
      <c r="F15" s="55">
        <v>0</v>
      </c>
      <c r="G15" s="17">
        <f>SUM(D15:F15)</f>
        <v>0</v>
      </c>
    </row>
    <row r="16" spans="1:7" ht="15">
      <c r="A16" s="1063"/>
      <c r="B16" s="1064"/>
      <c r="C16" s="1064"/>
      <c r="D16" s="1065"/>
      <c r="E16" s="1066"/>
      <c r="F16" s="1065"/>
      <c r="G16" s="1067"/>
    </row>
    <row r="17" spans="1:7" ht="15">
      <c r="A17" s="1061"/>
      <c r="B17" s="5"/>
      <c r="C17" s="6"/>
      <c r="D17" s="14"/>
      <c r="E17" s="55"/>
      <c r="F17" s="16"/>
      <c r="G17" s="16"/>
    </row>
    <row r="18" spans="1:7" ht="15">
      <c r="A18" s="40"/>
      <c r="B18" s="30" t="s">
        <v>5</v>
      </c>
      <c r="C18" s="6"/>
      <c r="D18" s="1068">
        <f>SUM(D4:D15)</f>
        <v>5624819.0600000005</v>
      </c>
      <c r="E18" s="1068">
        <f>SUM(E4:E15)</f>
        <v>450850</v>
      </c>
      <c r="F18" s="1068">
        <f>SUM(F4:F15)</f>
        <v>13118666</v>
      </c>
      <c r="G18" s="1068">
        <f>SUM(G4:G12)</f>
        <v>19194335.060000002</v>
      </c>
    </row>
    <row r="19" spans="1:7" ht="14.25">
      <c r="A19" s="982"/>
      <c r="B19" s="26"/>
      <c r="C19" s="27"/>
      <c r="D19" s="28"/>
      <c r="E19" s="28"/>
      <c r="F19" s="1069"/>
      <c r="G19" s="1070"/>
    </row>
    <row r="20" spans="1:7" ht="14.25">
      <c r="A20" s="979"/>
      <c r="B20" s="21"/>
      <c r="C20" s="22"/>
      <c r="D20" s="23"/>
      <c r="E20" s="23"/>
      <c r="F20" s="1057"/>
      <c r="G20" s="1071"/>
    </row>
    <row r="21" spans="1:7" ht="15">
      <c r="A21" s="980" t="s">
        <v>0</v>
      </c>
      <c r="B21" s="5" t="s">
        <v>297</v>
      </c>
      <c r="C21" s="6"/>
      <c r="D21" s="55">
        <v>0</v>
      </c>
      <c r="E21" s="55">
        <v>0</v>
      </c>
      <c r="F21" s="55">
        <v>0</v>
      </c>
      <c r="G21" s="17">
        <f>SUM(D21:F21)</f>
        <v>0</v>
      </c>
    </row>
    <row r="22" spans="1:7" ht="15">
      <c r="A22" s="980"/>
      <c r="B22" s="7"/>
      <c r="C22" s="6"/>
      <c r="D22" s="54"/>
      <c r="E22" s="54"/>
      <c r="F22" s="1059"/>
      <c r="G22" s="1060"/>
    </row>
    <row r="23" spans="1:7" ht="15">
      <c r="A23" s="980" t="s">
        <v>2</v>
      </c>
      <c r="B23" s="5" t="s">
        <v>298</v>
      </c>
      <c r="C23" s="6"/>
      <c r="D23" s="55">
        <v>0</v>
      </c>
      <c r="E23" s="55">
        <v>0</v>
      </c>
      <c r="F23" s="55">
        <v>0</v>
      </c>
      <c r="G23" s="17">
        <f>SUM(D23:F23)</f>
        <v>0</v>
      </c>
    </row>
    <row r="24" spans="1:7" ht="15">
      <c r="A24" s="980"/>
      <c r="B24" s="7"/>
      <c r="C24" s="6"/>
      <c r="D24" s="54"/>
      <c r="E24" s="54"/>
      <c r="F24" s="1059"/>
      <c r="G24" s="1060"/>
    </row>
    <row r="25" spans="1:7" ht="15">
      <c r="A25" s="1061" t="s">
        <v>3</v>
      </c>
      <c r="B25" s="5" t="s">
        <v>294</v>
      </c>
      <c r="C25" s="6"/>
      <c r="D25" s="55">
        <v>0</v>
      </c>
      <c r="E25" s="55">
        <v>0</v>
      </c>
      <c r="F25" s="55">
        <v>0</v>
      </c>
      <c r="G25" s="17">
        <v>0</v>
      </c>
    </row>
    <row r="26" spans="1:7" ht="15">
      <c r="A26" s="1072"/>
      <c r="B26" s="1073"/>
      <c r="C26" s="27"/>
      <c r="D26" s="28"/>
      <c r="E26" s="425"/>
      <c r="F26" s="29"/>
      <c r="G26" s="29"/>
    </row>
    <row r="27" spans="1:7" ht="15">
      <c r="A27" s="1061"/>
      <c r="B27" s="5"/>
      <c r="C27" s="6"/>
      <c r="D27" s="14"/>
      <c r="E27" s="55"/>
      <c r="F27" s="16"/>
      <c r="G27" s="16"/>
    </row>
    <row r="28" spans="1:7" ht="15">
      <c r="A28" s="40"/>
      <c r="B28" s="30" t="s">
        <v>5</v>
      </c>
      <c r="C28" s="6"/>
      <c r="D28" s="17">
        <f>SUM(D21:D25)</f>
        <v>0</v>
      </c>
      <c r="E28" s="17">
        <f>SUM(E21:E25)</f>
        <v>0</v>
      </c>
      <c r="F28" s="17">
        <f>SUM(F21:F25)</f>
        <v>0</v>
      </c>
      <c r="G28" s="17">
        <f>SUM(G21:G25)</f>
        <v>0</v>
      </c>
    </row>
    <row r="29" spans="1:7" ht="14.25">
      <c r="A29" s="982"/>
      <c r="B29" s="26"/>
      <c r="C29" s="27"/>
      <c r="D29" s="28"/>
      <c r="E29" s="28"/>
      <c r="F29" s="1069"/>
      <c r="G29" s="1069"/>
    </row>
  </sheetData>
  <sheetProtection/>
  <mergeCells count="6">
    <mergeCell ref="D2:D3"/>
    <mergeCell ref="E2:E3"/>
    <mergeCell ref="F2:F3"/>
    <mergeCell ref="L7:L8"/>
    <mergeCell ref="A2:C3"/>
    <mergeCell ref="G2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44"/>
  <sheetViews>
    <sheetView zoomScale="75" zoomScaleNormal="75" zoomScalePageLayoutView="0" workbookViewId="0" topLeftCell="K1">
      <selection activeCell="M1" sqref="M1"/>
    </sheetView>
  </sheetViews>
  <sheetFormatPr defaultColWidth="9.140625" defaultRowHeight="12.75"/>
  <cols>
    <col min="1" max="1" width="5.00390625" style="10" customWidth="1"/>
    <col min="2" max="2" width="30.421875" style="10" customWidth="1"/>
    <col min="3" max="3" width="17.8515625" style="10" customWidth="1"/>
    <col min="4" max="4" width="13.140625" style="10" customWidth="1"/>
    <col min="5" max="5" width="15.28125" style="10" customWidth="1"/>
    <col min="6" max="7" width="12.140625" style="10" customWidth="1"/>
    <col min="8" max="8" width="12.7109375" style="10" customWidth="1"/>
    <col min="9" max="10" width="9.140625" style="389" customWidth="1"/>
    <col min="11" max="11" width="5.00390625" style="390" customWidth="1"/>
    <col min="12" max="12" width="30.140625" style="390" bestFit="1" customWidth="1"/>
    <col min="13" max="13" width="18.28125" style="10" bestFit="1" customWidth="1"/>
    <col min="14" max="14" width="11.57421875" style="10" customWidth="1"/>
    <col min="15" max="15" width="12.7109375" style="10" customWidth="1"/>
    <col min="16" max="16" width="12.57421875" style="10" customWidth="1"/>
    <col min="17" max="17" width="9.8515625" style="10" customWidth="1"/>
    <col min="18" max="18" width="9.140625" style="10" customWidth="1"/>
    <col min="19" max="19" width="10.57421875" style="10" customWidth="1"/>
    <col min="20" max="16384" width="9.140625" style="10" customWidth="1"/>
  </cols>
  <sheetData>
    <row r="1" spans="1:19" s="39" customFormat="1" ht="16.5" customHeight="1">
      <c r="A1" s="395" t="s">
        <v>299</v>
      </c>
      <c r="B1" s="148"/>
      <c r="C1" s="148"/>
      <c r="D1" s="148"/>
      <c r="E1" s="148"/>
      <c r="F1" s="148"/>
      <c r="G1" s="148"/>
      <c r="H1" s="148"/>
      <c r="I1" s="121"/>
      <c r="J1" s="121"/>
      <c r="K1" s="395" t="s">
        <v>299</v>
      </c>
      <c r="L1" s="148"/>
      <c r="M1" s="148"/>
      <c r="N1" s="148"/>
      <c r="O1" s="148"/>
      <c r="P1" s="148"/>
      <c r="Q1" s="148"/>
      <c r="R1" s="148"/>
      <c r="S1" s="121"/>
    </row>
    <row r="2" spans="1:19" ht="102" customHeight="1">
      <c r="A2" s="1966"/>
      <c r="B2" s="1967"/>
      <c r="C2" s="1968"/>
      <c r="D2" s="37" t="s">
        <v>291</v>
      </c>
      <c r="E2" s="37" t="s">
        <v>292</v>
      </c>
      <c r="F2" s="193" t="s">
        <v>293</v>
      </c>
      <c r="G2" s="37" t="s">
        <v>294</v>
      </c>
      <c r="H2" s="37" t="s">
        <v>295</v>
      </c>
      <c r="I2" s="37" t="s">
        <v>296</v>
      </c>
      <c r="K2" s="1966"/>
      <c r="L2" s="1967"/>
      <c r="M2" s="1968"/>
      <c r="N2" s="37" t="s">
        <v>291</v>
      </c>
      <c r="O2" s="37" t="s">
        <v>292</v>
      </c>
      <c r="P2" s="193" t="s">
        <v>293</v>
      </c>
      <c r="Q2" s="37" t="s">
        <v>294</v>
      </c>
      <c r="R2" s="37" t="s">
        <v>295</v>
      </c>
      <c r="S2" s="37" t="s">
        <v>296</v>
      </c>
    </row>
    <row r="3" spans="1:19" ht="63.75" customHeight="1">
      <c r="A3" s="979"/>
      <c r="B3" s="21"/>
      <c r="C3" s="21"/>
      <c r="D3" s="23"/>
      <c r="E3" s="24"/>
      <c r="F3" s="114"/>
      <c r="G3" s="1074"/>
      <c r="H3" s="1074"/>
      <c r="I3" s="1074"/>
      <c r="K3" s="979"/>
      <c r="L3" s="21"/>
      <c r="M3" s="21"/>
      <c r="N3" s="23"/>
      <c r="O3" s="24"/>
      <c r="P3" s="114"/>
      <c r="Q3" s="1074"/>
      <c r="R3" s="1074"/>
      <c r="S3" s="1074"/>
    </row>
    <row r="4" spans="1:19" ht="15.75" customHeight="1">
      <c r="A4" s="95" t="s">
        <v>0</v>
      </c>
      <c r="B4" s="30" t="s">
        <v>16</v>
      </c>
      <c r="C4" s="7"/>
      <c r="D4" s="17">
        <v>0</v>
      </c>
      <c r="E4" s="1068">
        <v>1</v>
      </c>
      <c r="F4" s="1075">
        <v>13447679</v>
      </c>
      <c r="G4" s="17">
        <v>0</v>
      </c>
      <c r="H4" s="17">
        <v>0</v>
      </c>
      <c r="I4" s="17">
        <v>0</v>
      </c>
      <c r="K4" s="95" t="s">
        <v>0</v>
      </c>
      <c r="L4" s="30" t="s">
        <v>16</v>
      </c>
      <c r="M4" s="7"/>
      <c r="N4" s="17">
        <v>0</v>
      </c>
      <c r="O4" s="1068">
        <v>1</v>
      </c>
      <c r="P4" s="1075">
        <v>13447679</v>
      </c>
      <c r="Q4" s="17">
        <v>0</v>
      </c>
      <c r="R4" s="17">
        <v>0</v>
      </c>
      <c r="S4" s="17">
        <v>0</v>
      </c>
    </row>
    <row r="5" spans="1:19" ht="15.75" customHeight="1">
      <c r="A5" s="982"/>
      <c r="B5" s="26"/>
      <c r="C5" s="26"/>
      <c r="D5" s="28"/>
      <c r="E5" s="28"/>
      <c r="F5" s="115"/>
      <c r="G5" s="28"/>
      <c r="H5" s="28"/>
      <c r="I5" s="28"/>
      <c r="K5" s="982"/>
      <c r="L5" s="26"/>
      <c r="M5" s="26"/>
      <c r="N5" s="28"/>
      <c r="O5" s="28"/>
      <c r="P5" s="115"/>
      <c r="Q5" s="28"/>
      <c r="R5" s="28"/>
      <c r="S5" s="28"/>
    </row>
    <row r="6" spans="1:19" ht="15.75" customHeight="1">
      <c r="A6" s="979"/>
      <c r="B6" s="21"/>
      <c r="C6" s="22"/>
      <c r="D6" s="42"/>
      <c r="E6" s="42"/>
      <c r="F6" s="892"/>
      <c r="G6" s="42"/>
      <c r="H6" s="42"/>
      <c r="I6" s="42"/>
      <c r="J6" s="192"/>
      <c r="K6" s="979"/>
      <c r="L6" s="21"/>
      <c r="M6" s="22"/>
      <c r="N6" s="42"/>
      <c r="O6" s="42"/>
      <c r="P6" s="892"/>
      <c r="Q6" s="42"/>
      <c r="R6" s="42"/>
      <c r="S6" s="42"/>
    </row>
    <row r="7" spans="1:19" ht="15.75" customHeight="1">
      <c r="A7" s="95" t="s">
        <v>2</v>
      </c>
      <c r="B7" s="30" t="s">
        <v>18</v>
      </c>
      <c r="C7" s="6"/>
      <c r="D7" s="58">
        <f aca="true" t="shared" si="0" ref="D7:I7">SUM(D8:D22)</f>
        <v>0</v>
      </c>
      <c r="E7" s="1068">
        <f t="shared" si="0"/>
        <v>75211</v>
      </c>
      <c r="F7" s="1075">
        <f>SUM(F8:F22)</f>
        <v>3075912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192"/>
      <c r="K7" s="95" t="s">
        <v>2</v>
      </c>
      <c r="L7" s="30" t="s">
        <v>18</v>
      </c>
      <c r="M7" s="6"/>
      <c r="N7" s="58">
        <f aca="true" t="shared" si="1" ref="N7:S7">SUM(N8:N22)</f>
        <v>0</v>
      </c>
      <c r="O7" s="1068">
        <f t="shared" si="1"/>
        <v>75211</v>
      </c>
      <c r="P7" s="1075">
        <f>SUM(P8:P22)</f>
        <v>3075912</v>
      </c>
      <c r="Q7" s="58">
        <f t="shared" si="1"/>
        <v>0</v>
      </c>
      <c r="R7" s="58">
        <f t="shared" si="1"/>
        <v>0</v>
      </c>
      <c r="S7" s="58">
        <f t="shared" si="1"/>
        <v>0</v>
      </c>
    </row>
    <row r="8" spans="1:19" ht="15.75" customHeight="1">
      <c r="A8" s="980"/>
      <c r="B8" s="7"/>
      <c r="C8" s="6"/>
      <c r="D8" s="49"/>
      <c r="E8" s="49"/>
      <c r="F8" s="122"/>
      <c r="G8" s="49"/>
      <c r="H8" s="49"/>
      <c r="I8" s="49"/>
      <c r="J8" s="192"/>
      <c r="K8" s="980"/>
      <c r="L8" s="7"/>
      <c r="M8" s="6"/>
      <c r="N8" s="49"/>
      <c r="O8" s="49"/>
      <c r="P8" s="122"/>
      <c r="Q8" s="49"/>
      <c r="R8" s="49"/>
      <c r="S8" s="49"/>
    </row>
    <row r="9" spans="1:19" ht="15.75" customHeight="1">
      <c r="A9" s="50"/>
      <c r="B9" s="7" t="s">
        <v>649</v>
      </c>
      <c r="C9" s="6"/>
      <c r="D9" s="427">
        <v>0</v>
      </c>
      <c r="E9" s="427">
        <v>0</v>
      </c>
      <c r="F9" s="1077">
        <f>3061196+1</f>
        <v>3061197</v>
      </c>
      <c r="G9" s="427">
        <v>0</v>
      </c>
      <c r="H9" s="427">
        <v>0</v>
      </c>
      <c r="I9" s="427">
        <v>0</v>
      </c>
      <c r="J9" s="121"/>
      <c r="K9" s="50"/>
      <c r="L9" s="7" t="s">
        <v>649</v>
      </c>
      <c r="M9" s="6"/>
      <c r="N9" s="427">
        <v>0</v>
      </c>
      <c r="O9" s="427">
        <v>0</v>
      </c>
      <c r="P9" s="1077">
        <f>3061196+1</f>
        <v>3061197</v>
      </c>
      <c r="Q9" s="427">
        <v>0</v>
      </c>
      <c r="R9" s="427">
        <v>0</v>
      </c>
      <c r="S9" s="427">
        <v>0</v>
      </c>
    </row>
    <row r="10" spans="1:19" ht="15.75" customHeight="1">
      <c r="A10" s="980"/>
      <c r="B10" s="7"/>
      <c r="C10" s="6"/>
      <c r="D10" s="57"/>
      <c r="E10" s="57"/>
      <c r="F10" s="423"/>
      <c r="G10" s="57"/>
      <c r="H10" s="57"/>
      <c r="I10" s="57"/>
      <c r="J10" s="121"/>
      <c r="K10" s="980"/>
      <c r="L10" s="7"/>
      <c r="M10" s="6"/>
      <c r="N10" s="57"/>
      <c r="O10" s="57"/>
      <c r="P10" s="423"/>
      <c r="Q10" s="57"/>
      <c r="R10" s="57"/>
      <c r="S10" s="57"/>
    </row>
    <row r="11" spans="1:19" ht="15.75" customHeight="1">
      <c r="A11" s="1079"/>
      <c r="B11" s="1969" t="s">
        <v>650</v>
      </c>
      <c r="C11" s="1970"/>
      <c r="D11" s="427">
        <v>0</v>
      </c>
      <c r="E11" s="427">
        <v>0</v>
      </c>
      <c r="F11" s="877">
        <v>0</v>
      </c>
      <c r="G11" s="427">
        <v>0</v>
      </c>
      <c r="H11" s="427">
        <v>0</v>
      </c>
      <c r="I11" s="427">
        <v>0</v>
      </c>
      <c r="J11" s="121"/>
      <c r="K11" s="1079"/>
      <c r="L11" s="1969" t="s">
        <v>650</v>
      </c>
      <c r="M11" s="1970"/>
      <c r="N11" s="427">
        <v>0</v>
      </c>
      <c r="O11" s="427">
        <v>0</v>
      </c>
      <c r="P11" s="877">
        <v>0</v>
      </c>
      <c r="Q11" s="427">
        <v>0</v>
      </c>
      <c r="R11" s="427">
        <v>0</v>
      </c>
      <c r="S11" s="427">
        <v>0</v>
      </c>
    </row>
    <row r="12" spans="1:19" ht="15.75" customHeight="1">
      <c r="A12" s="980"/>
      <c r="B12" s="7"/>
      <c r="C12" s="6"/>
      <c r="D12" s="57"/>
      <c r="E12" s="57"/>
      <c r="F12" s="423"/>
      <c r="G12" s="57"/>
      <c r="H12" s="57"/>
      <c r="I12" s="57"/>
      <c r="J12" s="162"/>
      <c r="K12" s="980"/>
      <c r="L12" s="7"/>
      <c r="M12" s="6"/>
      <c r="N12" s="57"/>
      <c r="O12" s="57"/>
      <c r="P12" s="423"/>
      <c r="Q12" s="57"/>
      <c r="R12" s="57"/>
      <c r="S12" s="57"/>
    </row>
    <row r="13" spans="1:19" ht="15.75" customHeight="1">
      <c r="A13" s="50"/>
      <c r="B13" s="7" t="s">
        <v>651</v>
      </c>
      <c r="C13" s="6" t="s">
        <v>652</v>
      </c>
      <c r="D13" s="427">
        <v>0</v>
      </c>
      <c r="E13" s="1080">
        <v>75211</v>
      </c>
      <c r="F13" s="877">
        <v>0</v>
      </c>
      <c r="G13" s="427">
        <v>0</v>
      </c>
      <c r="H13" s="427">
        <v>0</v>
      </c>
      <c r="I13" s="427">
        <v>0</v>
      </c>
      <c r="J13" s="192"/>
      <c r="K13" s="50"/>
      <c r="L13" s="7" t="s">
        <v>651</v>
      </c>
      <c r="M13" s="6" t="s">
        <v>652</v>
      </c>
      <c r="N13" s="427">
        <v>0</v>
      </c>
      <c r="O13" s="1080">
        <v>75211</v>
      </c>
      <c r="P13" s="877">
        <v>0</v>
      </c>
      <c r="Q13" s="427">
        <v>0</v>
      </c>
      <c r="R13" s="427">
        <v>0</v>
      </c>
      <c r="S13" s="427">
        <v>0</v>
      </c>
    </row>
    <row r="14" spans="1:19" ht="15.75" customHeight="1">
      <c r="A14" s="980"/>
      <c r="B14" s="7"/>
      <c r="C14" s="6"/>
      <c r="D14" s="57"/>
      <c r="E14" s="57"/>
      <c r="F14" s="423"/>
      <c r="G14" s="57"/>
      <c r="H14" s="57"/>
      <c r="I14" s="57"/>
      <c r="J14" s="192"/>
      <c r="K14" s="980"/>
      <c r="L14" s="7"/>
      <c r="M14" s="6"/>
      <c r="N14" s="57"/>
      <c r="O14" s="57"/>
      <c r="P14" s="423"/>
      <c r="Q14" s="57"/>
      <c r="R14" s="57"/>
      <c r="S14" s="57"/>
    </row>
    <row r="15" spans="1:19" ht="15.75" customHeight="1">
      <c r="A15" s="50"/>
      <c r="B15" s="1081" t="s">
        <v>653</v>
      </c>
      <c r="C15" s="6"/>
      <c r="D15" s="427">
        <v>0</v>
      </c>
      <c r="E15" s="427">
        <v>0</v>
      </c>
      <c r="F15" s="877">
        <v>0</v>
      </c>
      <c r="G15" s="427">
        <v>0</v>
      </c>
      <c r="H15" s="427">
        <v>0</v>
      </c>
      <c r="I15" s="427">
        <v>0</v>
      </c>
      <c r="J15" s="121"/>
      <c r="K15" s="50"/>
      <c r="L15" s="1081" t="s">
        <v>653</v>
      </c>
      <c r="M15" s="6"/>
      <c r="N15" s="427">
        <v>0</v>
      </c>
      <c r="O15" s="427">
        <v>0</v>
      </c>
      <c r="P15" s="877">
        <v>0</v>
      </c>
      <c r="Q15" s="427">
        <v>0</v>
      </c>
      <c r="R15" s="427">
        <v>0</v>
      </c>
      <c r="S15" s="427">
        <v>0</v>
      </c>
    </row>
    <row r="16" spans="1:19" ht="15.75" customHeight="1">
      <c r="A16" s="980"/>
      <c r="B16" s="7"/>
      <c r="C16" s="6"/>
      <c r="D16" s="57"/>
      <c r="E16" s="57"/>
      <c r="F16" s="423"/>
      <c r="G16" s="57"/>
      <c r="H16" s="57"/>
      <c r="I16" s="57"/>
      <c r="K16" s="980"/>
      <c r="L16" s="7"/>
      <c r="M16" s="6"/>
      <c r="N16" s="57"/>
      <c r="O16" s="57"/>
      <c r="P16" s="423"/>
      <c r="Q16" s="57"/>
      <c r="R16" s="57"/>
      <c r="S16" s="57"/>
    </row>
    <row r="17" spans="1:19" ht="15.75" customHeight="1">
      <c r="A17" s="50"/>
      <c r="B17" s="7" t="s">
        <v>654</v>
      </c>
      <c r="C17" s="6"/>
      <c r="D17" s="427">
        <v>0</v>
      </c>
      <c r="E17" s="427">
        <v>0</v>
      </c>
      <c r="F17" s="1077"/>
      <c r="G17" s="427">
        <v>0</v>
      </c>
      <c r="H17" s="427">
        <v>0</v>
      </c>
      <c r="I17" s="427">
        <v>0</v>
      </c>
      <c r="K17" s="50"/>
      <c r="L17" s="7" t="s">
        <v>654</v>
      </c>
      <c r="M17" s="6"/>
      <c r="N17" s="427">
        <v>0</v>
      </c>
      <c r="O17" s="427">
        <v>0</v>
      </c>
      <c r="P17" s="1077"/>
      <c r="Q17" s="427">
        <v>0</v>
      </c>
      <c r="R17" s="427">
        <v>0</v>
      </c>
      <c r="S17" s="427">
        <v>0</v>
      </c>
    </row>
    <row r="18" spans="1:19" ht="15.75" customHeight="1">
      <c r="A18" s="980"/>
      <c r="B18" s="7"/>
      <c r="C18" s="6"/>
      <c r="D18" s="49"/>
      <c r="E18" s="49"/>
      <c r="F18" s="122"/>
      <c r="G18" s="49"/>
      <c r="H18" s="49"/>
      <c r="I18" s="49"/>
      <c r="K18" s="980"/>
      <c r="L18" s="7"/>
      <c r="M18" s="6"/>
      <c r="N18" s="49"/>
      <c r="O18" s="49"/>
      <c r="P18" s="122"/>
      <c r="Q18" s="49"/>
      <c r="R18" s="49"/>
      <c r="S18" s="49"/>
    </row>
    <row r="19" spans="1:19" ht="15.75" customHeight="1">
      <c r="A19" s="50"/>
      <c r="B19" s="7" t="s">
        <v>655</v>
      </c>
      <c r="C19" s="6"/>
      <c r="D19" s="427">
        <v>0</v>
      </c>
      <c r="E19" s="427">
        <v>0</v>
      </c>
      <c r="F19" s="427">
        <v>0</v>
      </c>
      <c r="G19" s="427">
        <v>0</v>
      </c>
      <c r="H19" s="427">
        <v>0</v>
      </c>
      <c r="I19" s="427">
        <v>0</v>
      </c>
      <c r="K19" s="50"/>
      <c r="L19" s="7" t="s">
        <v>655</v>
      </c>
      <c r="M19" s="6"/>
      <c r="N19" s="427">
        <v>0</v>
      </c>
      <c r="O19" s="427">
        <v>0</v>
      </c>
      <c r="P19" s="427">
        <v>0</v>
      </c>
      <c r="Q19" s="427">
        <v>0</v>
      </c>
      <c r="R19" s="427">
        <v>0</v>
      </c>
      <c r="S19" s="427">
        <v>0</v>
      </c>
    </row>
    <row r="20" spans="1:19" ht="15.75" customHeight="1">
      <c r="A20" s="980"/>
      <c r="B20" s="7"/>
      <c r="C20" s="6"/>
      <c r="D20" s="57"/>
      <c r="E20" s="57"/>
      <c r="F20" s="423"/>
      <c r="G20" s="57"/>
      <c r="H20" s="57"/>
      <c r="I20" s="57"/>
      <c r="K20" s="980"/>
      <c r="L20" s="7"/>
      <c r="M20" s="6"/>
      <c r="N20" s="57"/>
      <c r="O20" s="57"/>
      <c r="P20" s="423"/>
      <c r="Q20" s="57"/>
      <c r="R20" s="57"/>
      <c r="S20" s="57"/>
    </row>
    <row r="21" spans="1:19" ht="15.75" customHeight="1">
      <c r="A21" s="1079"/>
      <c r="B21" s="1969" t="s">
        <v>656</v>
      </c>
      <c r="C21" s="1970"/>
      <c r="D21" s="427">
        <v>0</v>
      </c>
      <c r="E21" s="427">
        <v>0</v>
      </c>
      <c r="F21" s="1077">
        <v>14715</v>
      </c>
      <c r="G21" s="427">
        <v>0</v>
      </c>
      <c r="H21" s="427">
        <v>0</v>
      </c>
      <c r="I21" s="427">
        <v>0</v>
      </c>
      <c r="K21" s="1079"/>
      <c r="L21" s="1969" t="s">
        <v>656</v>
      </c>
      <c r="M21" s="1970"/>
      <c r="N21" s="427">
        <v>0</v>
      </c>
      <c r="O21" s="427">
        <v>0</v>
      </c>
      <c r="P21" s="1077">
        <v>14715</v>
      </c>
      <c r="Q21" s="427">
        <v>0</v>
      </c>
      <c r="R21" s="427">
        <v>0</v>
      </c>
      <c r="S21" s="427">
        <v>0</v>
      </c>
    </row>
    <row r="22" spans="1:19" ht="15.75" customHeight="1">
      <c r="A22" s="982"/>
      <c r="B22" s="26"/>
      <c r="C22" s="27"/>
      <c r="D22" s="51"/>
      <c r="E22" s="51"/>
      <c r="F22" s="128"/>
      <c r="G22" s="51"/>
      <c r="H22" s="51"/>
      <c r="I22" s="51"/>
      <c r="K22" s="982"/>
      <c r="L22" s="26"/>
      <c r="M22" s="27"/>
      <c r="N22" s="51"/>
      <c r="O22" s="51"/>
      <c r="P22" s="128"/>
      <c r="Q22" s="51"/>
      <c r="R22" s="51"/>
      <c r="S22" s="51"/>
    </row>
    <row r="23" spans="1:19" ht="14.25">
      <c r="A23" s="980"/>
      <c r="B23" s="7"/>
      <c r="C23" s="6"/>
      <c r="D23" s="14"/>
      <c r="E23" s="14"/>
      <c r="F23" s="84"/>
      <c r="G23" s="14"/>
      <c r="H23" s="14"/>
      <c r="I23" s="14"/>
      <c r="K23" s="980"/>
      <c r="L23" s="7"/>
      <c r="M23" s="6"/>
      <c r="N23" s="14"/>
      <c r="O23" s="14"/>
      <c r="P23" s="84"/>
      <c r="Q23" s="14"/>
      <c r="R23" s="14"/>
      <c r="S23" s="14"/>
    </row>
    <row r="24" spans="1:19" s="390" customFormat="1" ht="12.75" customHeight="1">
      <c r="A24" s="95" t="s">
        <v>3</v>
      </c>
      <c r="B24" s="30" t="s">
        <v>23</v>
      </c>
      <c r="C24" s="6"/>
      <c r="D24" s="58">
        <f>SUM(D41:D41)</f>
        <v>0</v>
      </c>
      <c r="E24" s="53">
        <f>SUM(E26:E41)</f>
        <v>-75211</v>
      </c>
      <c r="F24" s="181">
        <f>SUM(F25:F41)</f>
        <v>-3404326</v>
      </c>
      <c r="G24" s="58">
        <f>SUM(G41:G41)</f>
        <v>0</v>
      </c>
      <c r="H24" s="58">
        <f>SUM(H41:H41)</f>
        <v>0</v>
      </c>
      <c r="I24" s="58">
        <f>SUM(I41:I41)</f>
        <v>0</v>
      </c>
      <c r="J24" s="389"/>
      <c r="K24" s="95" t="s">
        <v>3</v>
      </c>
      <c r="L24" s="30" t="s">
        <v>23</v>
      </c>
      <c r="M24" s="6"/>
      <c r="N24" s="58">
        <f>SUM(N41:N41)</f>
        <v>0</v>
      </c>
      <c r="O24" s="53">
        <f>SUM(O26:O41)</f>
        <v>-75211</v>
      </c>
      <c r="P24" s="181">
        <f>SUM(P25:P41)</f>
        <v>-3404326</v>
      </c>
      <c r="Q24" s="58">
        <f>SUM(Q41:Q41)</f>
        <v>0</v>
      </c>
      <c r="R24" s="58">
        <f>SUM(R41:R41)</f>
        <v>0</v>
      </c>
      <c r="S24" s="58">
        <f>SUM(S41:S41)</f>
        <v>0</v>
      </c>
    </row>
    <row r="25" spans="1:19" ht="14.25">
      <c r="A25" s="980"/>
      <c r="B25" s="7"/>
      <c r="C25" s="6"/>
      <c r="D25" s="49"/>
      <c r="E25" s="49"/>
      <c r="F25" s="122"/>
      <c r="G25" s="49"/>
      <c r="H25" s="49"/>
      <c r="I25" s="49"/>
      <c r="K25" s="980"/>
      <c r="L25" s="7"/>
      <c r="M25" s="6"/>
      <c r="N25" s="49"/>
      <c r="O25" s="49"/>
      <c r="P25" s="122"/>
      <c r="Q25" s="49"/>
      <c r="R25" s="49"/>
      <c r="S25" s="49"/>
    </row>
    <row r="26" spans="1:19" ht="12.75" customHeight="1">
      <c r="A26" s="50"/>
      <c r="B26" s="7" t="s">
        <v>657</v>
      </c>
      <c r="C26" s="6"/>
      <c r="D26" s="427">
        <v>0</v>
      </c>
      <c r="E26" s="427">
        <v>0</v>
      </c>
      <c r="F26" s="427">
        <v>0</v>
      </c>
      <c r="G26" s="427">
        <v>0</v>
      </c>
      <c r="H26" s="427">
        <v>0</v>
      </c>
      <c r="I26" s="427">
        <v>0</v>
      </c>
      <c r="K26" s="50"/>
      <c r="L26" s="7" t="s">
        <v>657</v>
      </c>
      <c r="M26" s="6"/>
      <c r="N26" s="427">
        <v>0</v>
      </c>
      <c r="O26" s="427">
        <v>0</v>
      </c>
      <c r="P26" s="427">
        <v>0</v>
      </c>
      <c r="Q26" s="427">
        <v>0</v>
      </c>
      <c r="R26" s="427">
        <v>0</v>
      </c>
      <c r="S26" s="427">
        <v>0</v>
      </c>
    </row>
    <row r="27" spans="1:19" ht="14.25">
      <c r="A27" s="980"/>
      <c r="B27" s="7"/>
      <c r="C27" s="6"/>
      <c r="D27" s="49"/>
      <c r="E27" s="49"/>
      <c r="F27" s="122"/>
      <c r="G27" s="49"/>
      <c r="H27" s="49"/>
      <c r="I27" s="49"/>
      <c r="K27" s="980"/>
      <c r="L27" s="7"/>
      <c r="M27" s="6"/>
      <c r="N27" s="49"/>
      <c r="O27" s="49"/>
      <c r="P27" s="122"/>
      <c r="Q27" s="49"/>
      <c r="R27" s="49"/>
      <c r="S27" s="49"/>
    </row>
    <row r="28" spans="1:19" ht="12.75" customHeight="1">
      <c r="A28" s="50"/>
      <c r="B28" s="7" t="s">
        <v>658</v>
      </c>
      <c r="C28" s="6"/>
      <c r="D28" s="427">
        <v>0</v>
      </c>
      <c r="E28" s="427">
        <v>0</v>
      </c>
      <c r="F28" s="427">
        <v>0</v>
      </c>
      <c r="G28" s="427">
        <v>0</v>
      </c>
      <c r="H28" s="427">
        <v>0</v>
      </c>
      <c r="I28" s="427">
        <v>0</v>
      </c>
      <c r="K28" s="50"/>
      <c r="L28" s="7" t="s">
        <v>658</v>
      </c>
      <c r="M28" s="6"/>
      <c r="N28" s="427">
        <v>0</v>
      </c>
      <c r="O28" s="427">
        <v>0</v>
      </c>
      <c r="P28" s="427">
        <v>0</v>
      </c>
      <c r="Q28" s="427">
        <v>0</v>
      </c>
      <c r="R28" s="427">
        <v>0</v>
      </c>
      <c r="S28" s="427">
        <v>0</v>
      </c>
    </row>
    <row r="29" spans="1:19" ht="14.25">
      <c r="A29" s="980"/>
      <c r="B29" s="7"/>
      <c r="C29" s="6"/>
      <c r="D29" s="57"/>
      <c r="E29" s="57"/>
      <c r="F29" s="423"/>
      <c r="G29" s="57"/>
      <c r="H29" s="57"/>
      <c r="I29" s="57"/>
      <c r="K29" s="980"/>
      <c r="L29" s="7"/>
      <c r="M29" s="6"/>
      <c r="N29" s="57"/>
      <c r="O29" s="57"/>
      <c r="P29" s="423"/>
      <c r="Q29" s="57"/>
      <c r="R29" s="57"/>
      <c r="S29" s="57"/>
    </row>
    <row r="30" spans="1:19" ht="14.25">
      <c r="A30" s="1079"/>
      <c r="B30" s="1969" t="s">
        <v>659</v>
      </c>
      <c r="C30" s="1970"/>
      <c r="D30" s="427">
        <v>0</v>
      </c>
      <c r="E30" s="427">
        <v>0</v>
      </c>
      <c r="F30" s="877">
        <v>0</v>
      </c>
      <c r="G30" s="427">
        <v>0</v>
      </c>
      <c r="H30" s="427">
        <v>0</v>
      </c>
      <c r="I30" s="427">
        <v>0</v>
      </c>
      <c r="K30" s="1079"/>
      <c r="L30" s="1969" t="s">
        <v>659</v>
      </c>
      <c r="M30" s="1970"/>
      <c r="N30" s="427">
        <v>0</v>
      </c>
      <c r="O30" s="427">
        <v>0</v>
      </c>
      <c r="P30" s="877">
        <v>0</v>
      </c>
      <c r="Q30" s="427">
        <v>0</v>
      </c>
      <c r="R30" s="427">
        <v>0</v>
      </c>
      <c r="S30" s="427">
        <v>0</v>
      </c>
    </row>
    <row r="31" spans="1:19" ht="14.25">
      <c r="A31" s="980"/>
      <c r="B31" s="7"/>
      <c r="C31" s="6"/>
      <c r="D31" s="57"/>
      <c r="E31" s="57"/>
      <c r="F31" s="423"/>
      <c r="G31" s="57"/>
      <c r="H31" s="57"/>
      <c r="I31" s="57"/>
      <c r="K31" s="980"/>
      <c r="L31" s="7"/>
      <c r="M31" s="6"/>
      <c r="N31" s="57"/>
      <c r="O31" s="57"/>
      <c r="P31" s="423"/>
      <c r="Q31" s="57"/>
      <c r="R31" s="57"/>
      <c r="S31" s="57"/>
    </row>
    <row r="32" spans="1:19" ht="14.25">
      <c r="A32" s="50"/>
      <c r="B32" s="7" t="s">
        <v>660</v>
      </c>
      <c r="C32" s="6" t="s">
        <v>652</v>
      </c>
      <c r="D32" s="427">
        <v>0</v>
      </c>
      <c r="E32" s="1082">
        <v>-75211</v>
      </c>
      <c r="F32" s="170">
        <v>-41999</v>
      </c>
      <c r="G32" s="427">
        <v>0</v>
      </c>
      <c r="H32" s="427">
        <v>0</v>
      </c>
      <c r="I32" s="427">
        <v>0</v>
      </c>
      <c r="K32" s="50"/>
      <c r="L32" s="7" t="s">
        <v>660</v>
      </c>
      <c r="M32" s="6" t="s">
        <v>652</v>
      </c>
      <c r="N32" s="427">
        <v>0</v>
      </c>
      <c r="O32" s="1082">
        <v>-75211</v>
      </c>
      <c r="P32" s="170">
        <v>-41999</v>
      </c>
      <c r="Q32" s="427">
        <v>0</v>
      </c>
      <c r="R32" s="427">
        <v>0</v>
      </c>
      <c r="S32" s="427">
        <v>0</v>
      </c>
    </row>
    <row r="33" spans="1:19" ht="14.25">
      <c r="A33" s="980"/>
      <c r="B33" s="7"/>
      <c r="C33" s="6"/>
      <c r="D33" s="57"/>
      <c r="E33" s="57"/>
      <c r="F33" s="423"/>
      <c r="G33" s="57"/>
      <c r="H33" s="57"/>
      <c r="I33" s="57"/>
      <c r="K33" s="980"/>
      <c r="L33" s="7"/>
      <c r="M33" s="6"/>
      <c r="N33" s="57"/>
      <c r="O33" s="57"/>
      <c r="P33" s="423"/>
      <c r="Q33" s="57"/>
      <c r="R33" s="57"/>
      <c r="S33" s="57"/>
    </row>
    <row r="34" spans="1:19" ht="14.25">
      <c r="A34" s="50"/>
      <c r="B34" s="1081" t="s">
        <v>661</v>
      </c>
      <c r="C34" s="6"/>
      <c r="D34" s="427">
        <v>0</v>
      </c>
      <c r="E34" s="427">
        <v>0</v>
      </c>
      <c r="F34" s="877">
        <v>0</v>
      </c>
      <c r="G34" s="427">
        <v>0</v>
      </c>
      <c r="H34" s="427">
        <v>0</v>
      </c>
      <c r="I34" s="427">
        <v>0</v>
      </c>
      <c r="K34" s="50"/>
      <c r="L34" s="1081" t="s">
        <v>661</v>
      </c>
      <c r="M34" s="6"/>
      <c r="N34" s="427">
        <v>0</v>
      </c>
      <c r="O34" s="427">
        <v>0</v>
      </c>
      <c r="P34" s="877">
        <v>0</v>
      </c>
      <c r="Q34" s="427">
        <v>0</v>
      </c>
      <c r="R34" s="427">
        <v>0</v>
      </c>
      <c r="S34" s="427">
        <v>0</v>
      </c>
    </row>
    <row r="35" spans="1:19" ht="14.25">
      <c r="A35" s="980"/>
      <c r="B35" s="7"/>
      <c r="C35" s="6"/>
      <c r="D35" s="57"/>
      <c r="E35" s="57"/>
      <c r="F35" s="423"/>
      <c r="G35" s="57"/>
      <c r="H35" s="57"/>
      <c r="I35" s="57"/>
      <c r="K35" s="980"/>
      <c r="L35" s="7"/>
      <c r="M35" s="6"/>
      <c r="N35" s="57"/>
      <c r="O35" s="57"/>
      <c r="P35" s="423"/>
      <c r="Q35" s="57"/>
      <c r="R35" s="57"/>
      <c r="S35" s="57"/>
    </row>
    <row r="36" spans="1:19" ht="14.25">
      <c r="A36" s="50"/>
      <c r="B36" s="7" t="s">
        <v>662</v>
      </c>
      <c r="C36" s="6"/>
      <c r="D36" s="427">
        <v>0</v>
      </c>
      <c r="E36" s="427">
        <v>0</v>
      </c>
      <c r="F36" s="170">
        <v>-419890</v>
      </c>
      <c r="G36" s="427">
        <v>0</v>
      </c>
      <c r="H36" s="427">
        <v>0</v>
      </c>
      <c r="I36" s="427">
        <v>0</v>
      </c>
      <c r="K36" s="50"/>
      <c r="L36" s="7" t="s">
        <v>662</v>
      </c>
      <c r="M36" s="6"/>
      <c r="N36" s="427">
        <v>0</v>
      </c>
      <c r="O36" s="427">
        <v>0</v>
      </c>
      <c r="P36" s="170">
        <v>-419890</v>
      </c>
      <c r="Q36" s="427">
        <v>0</v>
      </c>
      <c r="R36" s="427">
        <v>0</v>
      </c>
      <c r="S36" s="427">
        <v>0</v>
      </c>
    </row>
    <row r="37" spans="1:19" ht="14.25">
      <c r="A37" s="980"/>
      <c r="B37" s="7"/>
      <c r="C37" s="6"/>
      <c r="D37" s="49"/>
      <c r="E37" s="49"/>
      <c r="F37" s="122"/>
      <c r="G37" s="49"/>
      <c r="H37" s="49"/>
      <c r="I37" s="49"/>
      <c r="K37" s="980"/>
      <c r="L37" s="7"/>
      <c r="M37" s="6"/>
      <c r="N37" s="49"/>
      <c r="O37" s="49"/>
      <c r="P37" s="122"/>
      <c r="Q37" s="49"/>
      <c r="R37" s="49"/>
      <c r="S37" s="49"/>
    </row>
    <row r="38" spans="1:19" ht="14.25">
      <c r="A38" s="50"/>
      <c r="B38" s="7" t="s">
        <v>663</v>
      </c>
      <c r="C38" s="6"/>
      <c r="D38" s="427">
        <v>0</v>
      </c>
      <c r="E38" s="427">
        <v>0</v>
      </c>
      <c r="F38" s="427">
        <v>0</v>
      </c>
      <c r="G38" s="427">
        <v>0</v>
      </c>
      <c r="H38" s="427">
        <v>0</v>
      </c>
      <c r="I38" s="427">
        <v>0</v>
      </c>
      <c r="K38" s="50"/>
      <c r="L38" s="7" t="s">
        <v>663</v>
      </c>
      <c r="M38" s="6"/>
      <c r="N38" s="427">
        <v>0</v>
      </c>
      <c r="O38" s="427">
        <v>0</v>
      </c>
      <c r="P38" s="427">
        <v>0</v>
      </c>
      <c r="Q38" s="427">
        <v>0</v>
      </c>
      <c r="R38" s="427">
        <v>0</v>
      </c>
      <c r="S38" s="427">
        <v>0</v>
      </c>
    </row>
    <row r="39" spans="1:19" ht="14.25">
      <c r="A39" s="980"/>
      <c r="B39" s="7"/>
      <c r="C39" s="6"/>
      <c r="D39" s="57"/>
      <c r="E39" s="57"/>
      <c r="F39" s="423"/>
      <c r="G39" s="57"/>
      <c r="H39" s="57"/>
      <c r="I39" s="57"/>
      <c r="K39" s="980"/>
      <c r="L39" s="7"/>
      <c r="M39" s="6"/>
      <c r="N39" s="57"/>
      <c r="O39" s="57"/>
      <c r="P39" s="423"/>
      <c r="Q39" s="57"/>
      <c r="R39" s="57"/>
      <c r="S39" s="57"/>
    </row>
    <row r="40" spans="1:19" ht="14.25">
      <c r="A40" s="1079"/>
      <c r="B40" s="1969" t="s">
        <v>664</v>
      </c>
      <c r="C40" s="1970"/>
      <c r="D40" s="427">
        <v>0</v>
      </c>
      <c r="E40" s="427">
        <v>0</v>
      </c>
      <c r="F40" s="959">
        <f>-600000-2342437</f>
        <v>-2942437</v>
      </c>
      <c r="G40" s="427">
        <v>0</v>
      </c>
      <c r="H40" s="427">
        <v>0</v>
      </c>
      <c r="I40" s="427">
        <v>0</v>
      </c>
      <c r="K40" s="1079"/>
      <c r="L40" s="1969" t="s">
        <v>664</v>
      </c>
      <c r="M40" s="1970"/>
      <c r="N40" s="427">
        <v>0</v>
      </c>
      <c r="O40" s="427">
        <v>0</v>
      </c>
      <c r="P40" s="959">
        <f>-600000-2342437</f>
        <v>-2942437</v>
      </c>
      <c r="Q40" s="427">
        <v>0</v>
      </c>
      <c r="R40" s="427">
        <v>0</v>
      </c>
      <c r="S40" s="427">
        <v>0</v>
      </c>
    </row>
    <row r="41" spans="1:19" ht="14.25">
      <c r="A41" s="982"/>
      <c r="B41" s="26"/>
      <c r="C41" s="27"/>
      <c r="D41" s="28"/>
      <c r="E41" s="28"/>
      <c r="F41" s="115"/>
      <c r="G41" s="28"/>
      <c r="H41" s="28"/>
      <c r="I41" s="28"/>
      <c r="K41" s="982"/>
      <c r="L41" s="26"/>
      <c r="M41" s="27"/>
      <c r="N41" s="28"/>
      <c r="O41" s="28"/>
      <c r="P41" s="115"/>
      <c r="Q41" s="28"/>
      <c r="R41" s="28"/>
      <c r="S41" s="28"/>
    </row>
    <row r="42" spans="1:19" ht="14.25">
      <c r="A42" s="979"/>
      <c r="B42" s="21"/>
      <c r="C42" s="21"/>
      <c r="D42" s="23"/>
      <c r="E42" s="23"/>
      <c r="F42" s="114"/>
      <c r="G42" s="23"/>
      <c r="H42" s="23"/>
      <c r="I42" s="23"/>
      <c r="K42" s="979"/>
      <c r="L42" s="21"/>
      <c r="M42" s="21"/>
      <c r="N42" s="23"/>
      <c r="O42" s="23"/>
      <c r="P42" s="114"/>
      <c r="Q42" s="23"/>
      <c r="R42" s="23"/>
      <c r="S42" s="23"/>
    </row>
    <row r="43" spans="1:19" ht="15">
      <c r="A43" s="95" t="s">
        <v>227</v>
      </c>
      <c r="B43" s="30" t="s">
        <v>28</v>
      </c>
      <c r="C43" s="7"/>
      <c r="D43" s="17">
        <f aca="true" t="shared" si="2" ref="D43:I43">D4+D7+D24</f>
        <v>0</v>
      </c>
      <c r="E43" s="1075">
        <f>E4+E7+E24</f>
        <v>1</v>
      </c>
      <c r="F43" s="1075">
        <f t="shared" si="2"/>
        <v>13119265</v>
      </c>
      <c r="G43" s="17">
        <f t="shared" si="2"/>
        <v>0</v>
      </c>
      <c r="H43" s="17">
        <f t="shared" si="2"/>
        <v>0</v>
      </c>
      <c r="I43" s="17">
        <f t="shared" si="2"/>
        <v>0</v>
      </c>
      <c r="K43" s="95" t="s">
        <v>227</v>
      </c>
      <c r="L43" s="30" t="s">
        <v>28</v>
      </c>
      <c r="M43" s="7"/>
      <c r="N43" s="17">
        <f aca="true" t="shared" si="3" ref="N43:S43">N4+N7+N24</f>
        <v>0</v>
      </c>
      <c r="O43" s="1075">
        <f>O4+O7+O24</f>
        <v>1</v>
      </c>
      <c r="P43" s="1075">
        <f t="shared" si="3"/>
        <v>13119265</v>
      </c>
      <c r="Q43" s="17">
        <f t="shared" si="3"/>
        <v>0</v>
      </c>
      <c r="R43" s="17">
        <f t="shared" si="3"/>
        <v>0</v>
      </c>
      <c r="S43" s="17">
        <f t="shared" si="3"/>
        <v>0</v>
      </c>
    </row>
    <row r="44" spans="1:19" ht="14.25">
      <c r="A44" s="982"/>
      <c r="B44" s="26"/>
      <c r="C44" s="26"/>
      <c r="D44" s="28"/>
      <c r="E44" s="1083"/>
      <c r="F44" s="115"/>
      <c r="G44" s="1084"/>
      <c r="H44" s="1084"/>
      <c r="I44" s="1084"/>
      <c r="K44" s="982"/>
      <c r="L44" s="26"/>
      <c r="M44" s="26"/>
      <c r="N44" s="28"/>
      <c r="O44" s="1083"/>
      <c r="P44" s="115"/>
      <c r="Q44" s="1084"/>
      <c r="R44" s="1084"/>
      <c r="S44" s="1084"/>
    </row>
  </sheetData>
  <sheetProtection/>
  <mergeCells count="10">
    <mergeCell ref="A2:C2"/>
    <mergeCell ref="B11:C11"/>
    <mergeCell ref="B21:C21"/>
    <mergeCell ref="B30:C30"/>
    <mergeCell ref="B40:C40"/>
    <mergeCell ref="K2:M2"/>
    <mergeCell ref="L11:M11"/>
    <mergeCell ref="L21:M21"/>
    <mergeCell ref="L30:M30"/>
    <mergeCell ref="L40:M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Veneto Sviluppo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atabacchi</dc:creator>
  <cp:keywords/>
  <dc:description/>
  <cp:lastModifiedBy>Lara Manente - Veneto Sviluppo Spa</cp:lastModifiedBy>
  <cp:lastPrinted>2018-02-14T14:32:25Z</cp:lastPrinted>
  <dcterms:created xsi:type="dcterms:W3CDTF">2007-03-26T16:13:27Z</dcterms:created>
  <dcterms:modified xsi:type="dcterms:W3CDTF">2018-02-14T14:55:50Z</dcterms:modified>
  <cp:category/>
  <cp:version/>
  <cp:contentType/>
  <cp:contentStatus/>
</cp:coreProperties>
</file>